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4795" windowHeight="10995"/>
  </bookViews>
  <sheets>
    <sheet name="Раскрытие информации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Print_Area" localSheetId="0">'Раскрытие информации (2)'!$A$1:$S$46</definedName>
  </definedNames>
  <calcPr calcId="144525"/>
</workbook>
</file>

<file path=xl/calcChain.xml><?xml version="1.0" encoding="utf-8"?>
<calcChain xmlns="http://schemas.openxmlformats.org/spreadsheetml/2006/main">
  <c r="S41" i="1" l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 s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 s="1"/>
  <c r="B36" i="1"/>
  <c r="S35" i="1"/>
  <c r="R35" i="1"/>
  <c r="Q35" i="1"/>
  <c r="P35" i="1"/>
  <c r="D35" i="1" s="1"/>
  <c r="O35" i="1"/>
  <c r="N35" i="1"/>
  <c r="F35" i="1" s="1"/>
  <c r="L35" i="1"/>
  <c r="K35" i="1"/>
  <c r="J35" i="1"/>
  <c r="I35" i="1"/>
  <c r="E35" i="1" s="1"/>
  <c r="H35" i="1"/>
  <c r="G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S33" i="1"/>
  <c r="R33" i="1"/>
  <c r="Q33" i="1"/>
  <c r="P33" i="1"/>
  <c r="N33" i="1"/>
  <c r="K33" i="1"/>
  <c r="J33" i="1"/>
  <c r="I33" i="1"/>
  <c r="H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S27" i="1"/>
  <c r="R27" i="1"/>
  <c r="Q27" i="1"/>
  <c r="P27" i="1"/>
  <c r="K27" i="1"/>
  <c r="J27" i="1"/>
  <c r="I27" i="1"/>
  <c r="H27" i="1"/>
  <c r="G27" i="1"/>
  <c r="F27" i="1"/>
  <c r="E27" i="1"/>
  <c r="D27" i="1"/>
  <c r="C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S23" i="1"/>
  <c r="R23" i="1"/>
  <c r="Q23" i="1"/>
  <c r="P23" i="1"/>
  <c r="K23" i="1"/>
  <c r="J23" i="1"/>
  <c r="I23" i="1"/>
  <c r="H23" i="1"/>
  <c r="G23" i="1"/>
  <c r="F23" i="1"/>
  <c r="E23" i="1"/>
  <c r="D23" i="1"/>
  <c r="C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 s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 s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 s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 s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 s="1"/>
  <c r="S7" i="1"/>
  <c r="R7" i="1"/>
  <c r="Q7" i="1"/>
  <c r="P7" i="1"/>
  <c r="O7" i="1"/>
  <c r="O42" i="1" s="1"/>
  <c r="N7" i="1"/>
  <c r="N42" i="1" s="1"/>
  <c r="M7" i="1"/>
  <c r="M42" i="1" s="1"/>
  <c r="L7" i="1"/>
  <c r="K7" i="1"/>
  <c r="J7" i="1"/>
  <c r="I7" i="1"/>
  <c r="H7" i="1"/>
  <c r="G7" i="1"/>
  <c r="F7" i="1"/>
  <c r="E7" i="1"/>
  <c r="D7" i="1"/>
  <c r="C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S6" i="1"/>
  <c r="S42" i="1" s="1"/>
  <c r="R6" i="1"/>
  <c r="R42" i="1" s="1"/>
  <c r="Q6" i="1"/>
  <c r="Q42" i="1" s="1"/>
  <c r="P6" i="1"/>
  <c r="P42" i="1" s="1"/>
  <c r="L6" i="1"/>
  <c r="K6" i="1"/>
  <c r="K42" i="1" s="1"/>
  <c r="J6" i="1"/>
  <c r="J42" i="1" s="1"/>
  <c r="I6" i="1"/>
  <c r="I42" i="1" s="1"/>
  <c r="H6" i="1"/>
  <c r="H42" i="1" s="1"/>
  <c r="G6" i="1"/>
  <c r="F6" i="1"/>
  <c r="D6" i="1"/>
  <c r="E6" i="1" l="1"/>
  <c r="G33" i="1"/>
  <c r="G42" i="1"/>
  <c r="E33" i="1"/>
  <c r="D33" i="1"/>
  <c r="D42" i="1" s="1"/>
  <c r="F33" i="1"/>
  <c r="F42" i="1" s="1"/>
  <c r="E42" i="1"/>
  <c r="C30" i="1"/>
  <c r="C40" i="1"/>
  <c r="L42" i="1"/>
  <c r="C12" i="1"/>
  <c r="C14" i="1"/>
  <c r="C22" i="1"/>
  <c r="C24" i="1"/>
  <c r="C33" i="1"/>
  <c r="C35" i="1"/>
  <c r="C6" i="1"/>
  <c r="C15" i="1"/>
  <c r="C19" i="1"/>
  <c r="C41" i="1"/>
  <c r="C26" i="1"/>
  <c r="C28" i="1"/>
  <c r="C29" i="1"/>
  <c r="C31" i="1"/>
  <c r="C32" i="1"/>
  <c r="C34" i="1"/>
  <c r="C38" i="1"/>
  <c r="C42" i="1" l="1"/>
</calcChain>
</file>

<file path=xl/sharedStrings.xml><?xml version="1.0" encoding="utf-8"?>
<sst xmlns="http://schemas.openxmlformats.org/spreadsheetml/2006/main" count="58" uniqueCount="45">
  <si>
    <t>Полезный отпуск электроэнергии потребителям ОАО "Екатеринбургэнергосбыт" в разрезе сетевых организаций, тыс. кВтч</t>
  </si>
  <si>
    <t xml:space="preserve">Июнь 2013 </t>
  </si>
  <si>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</si>
  <si>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</si>
  <si>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</si>
  <si>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</si>
  <si>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</si>
  <si>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</si>
  <si>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</si>
  <si>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</si>
  <si>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</si>
  <si>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</si>
  <si>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</si>
  <si>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</si>
  <si>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ОГУП "Птицефабрика "Свердловская"</t>
  </si>
  <si>
    <t>ОАО "Уралхиммаш"</t>
  </si>
  <si>
    <t>ГУП СО "Облкоммунэнерго"</t>
  </si>
  <si>
    <t>ОАО "РЖД"</t>
  </si>
  <si>
    <t>ООО "Ветта-Инвест"</t>
  </si>
  <si>
    <t>ФГУП "Уральский электромеханический завод"</t>
  </si>
  <si>
    <t>ОАО "Завод БМО"</t>
  </si>
  <si>
    <t>ОАО «УПП «Вектор»</t>
  </si>
  <si>
    <t>ОАО "ВНИИМТ"</t>
  </si>
  <si>
    <t>ОАО «Екатеринбурггаз»</t>
  </si>
  <si>
    <t>ООО «Юг-Энергосервис»</t>
  </si>
  <si>
    <t>ОАО "Аэропорт "Кольцово"</t>
  </si>
  <si>
    <t>ФГАОУ ВПО УрФУ имени первого Президента России Б.Н. Ельцина</t>
  </si>
  <si>
    <t>ЗАО«ЭлектроСетеваяКомпания»</t>
  </si>
  <si>
    <t>ЗАО "Машиностроительный завод имени В.В. Воровского"</t>
  </si>
  <si>
    <t>ООО "ТЭЦ"</t>
  </si>
  <si>
    <t>ООО "Первая Сетевая компания"</t>
  </si>
  <si>
    <t>ЗАО "УТЗ"</t>
  </si>
  <si>
    <t>ООО "Объединенная электросетевая компания"</t>
  </si>
  <si>
    <t>ОАО "НИЗМК"</t>
  </si>
  <si>
    <t>ОАО "Свердловский комбинат хлебопродуктов"</t>
  </si>
  <si>
    <t>ОАО Желдорреммаш</t>
  </si>
  <si>
    <t>ОАО "5 ЦАРЗ"</t>
  </si>
  <si>
    <t>ООО "Логистический центр"</t>
  </si>
  <si>
    <t>ООО "УК Новая территория""</t>
  </si>
  <si>
    <t>ОАО "Уральский завод гражданской авиации</t>
  </si>
  <si>
    <t>ООО "Объединенные Пивоварни Хейнекен" Филиал «Патра»</t>
  </si>
  <si>
    <t>ЗАО "Урал сеть инвест"</t>
  </si>
  <si>
    <t>ОАО "Оборонэнерго"</t>
  </si>
  <si>
    <t>ОАО "Режевская электросетевая компания"</t>
  </si>
  <si>
    <t>ООО "Энергошаля"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</si>
</sst>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#,##0.000"/>
    <numFmt numFmtId="165" formatCode="0.000"/>
    <numFmt numFmtId="166" formatCode="0.0"/>
    <numFmt numFmtId="167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5" borderId="0">
      <alignment horizontal="center" vertical="top"/>
    </xf>
    <xf numFmtId="0" fontId="16" fillId="5" borderId="0">
      <alignment horizontal="left" vertical="top"/>
    </xf>
    <xf numFmtId="0" fontId="16" fillId="5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49" fontId="4" fillId="0" borderId="0" xfId="0" applyNumberFormat="1" applyFont="1" applyBorder="1" applyAlignment="1">
      <alignment horizontal="right"/>
    </xf>
    <xf numFmtId="164" fontId="8" fillId="2" borderId="1" xfId="0" applyNumberFormat="1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vertical="center" wrapText="1" shrinkToFit="1"/>
    </xf>
    <xf numFmtId="164" fontId="8" fillId="3" borderId="1" xfId="0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 shrinkToFit="1"/>
    </xf>
    <xf numFmtId="3" fontId="7" fillId="3" borderId="1" xfId="0" applyNumberFormat="1" applyFont="1" applyFill="1" applyBorder="1" applyAlignment="1">
      <alignment horizontal="center" vertical="center" wrapText="1" shrinkToFit="1"/>
    </xf>
    <xf numFmtId="3" fontId="7" fillId="3" borderId="1" xfId="1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4" fontId="8" fillId="2" borderId="1" xfId="0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164" fontId="8" fillId="0" borderId="1" xfId="0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 shrinkToFi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wrapText="1" shrinkToFit="1"/>
    </xf>
    <xf numFmtId="0" fontId="7" fillId="0" borderId="1" xfId="0" applyFont="1" applyFill="1" applyBorder="1" applyAlignment="1">
      <alignment vertical="center" wrapText="1" shrinkToFit="1"/>
    </xf>
    <xf numFmtId="3" fontId="7" fillId="0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 shrinkToFit="1"/>
    </xf>
    <xf numFmtId="165" fontId="7" fillId="3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1" fontId="7" fillId="3" borderId="1" xfId="0" applyNumberFormat="1" applyFont="1" applyFill="1" applyBorder="1" applyAlignment="1">
      <alignment horizontal="center" vertical="center" wrapText="1" shrinkToFit="1"/>
    </xf>
    <xf numFmtId="165" fontId="8" fillId="0" borderId="1" xfId="0" applyNumberFormat="1" applyFont="1" applyFill="1" applyBorder="1" applyAlignment="1">
      <alignment horizontal="center" vertical="center" wrapText="1" shrinkToFit="1"/>
    </xf>
    <xf numFmtId="2" fontId="7" fillId="0" borderId="1" xfId="0" applyNumberFormat="1" applyFont="1" applyFill="1" applyBorder="1" applyAlignment="1">
      <alignment horizontal="center" vertical="center" wrapText="1" shrinkToFit="1"/>
    </xf>
    <xf numFmtId="166" fontId="7" fillId="0" borderId="1" xfId="0" applyNumberFormat="1" applyFont="1" applyFill="1" applyBorder="1" applyAlignment="1">
      <alignment horizontal="center" vertical="center" wrapText="1" shrinkToFit="1"/>
    </xf>
    <xf numFmtId="1" fontId="7" fillId="0" borderId="1" xfId="0" applyNumberFormat="1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4" fontId="10" fillId="2" borderId="1" xfId="0" applyNumberFormat="1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/>
    <xf numFmtId="0" fontId="3" fillId="2" borderId="0" xfId="0" applyFont="1" applyFill="1" applyBorder="1"/>
    <xf numFmtId="164" fontId="11" fillId="2" borderId="0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Fill="1"/>
    <xf numFmtId="0" fontId="0" fillId="0" borderId="0" xfId="0" applyFill="1"/>
    <xf numFmtId="0" fontId="6" fillId="0" borderId="0" xfId="0" applyFont="1" applyFill="1"/>
    <xf numFmtId="0" fontId="10" fillId="0" borderId="0" xfId="0" applyFont="1" applyFill="1" applyAlignment="1">
      <alignment wrapText="1" shrinkToFit="1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4;&#1072;&#1085;&#1085;&#1099;&#1077;%20&#1076;&#1083;&#1103;%20&#1088;&#1072;&#1089;&#1095;&#1077;&#1090;&#1072;\&#1057;&#1074;&#1086;&#1076;%20&#1074;&#1077;&#1076;%20&#1052;&#1056;&#1057;&#1050;%20&#1080;&#1102;&#1085;&#1100;13%20&#1082;&#1088;&#1072;&#1090;&#1082;&#108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42;&#1077;&#1082;&#1090;&#1086;&#1088;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42;&#1053;&#1048;&#1048;&#1052;&#1058;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45;&#1082;&#1072;&#1090;&#1077;&#1088;&#1080;&#1085;&#1073;&#1091;&#1088;&#1075;&#1075;&#1072;&#1079;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70;&#1075;-&#1069;&#1085;&#1077;&#1088;&#1075;&#1086;&#1089;&#1077;&#1088;&#1074;&#1080;&#1089;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40;&#1101;&#1088;&#1086;&#1087;&#1086;&#1088;&#1090;%20&#1050;&#1086;&#1083;&#1100;&#1094;&#1086;&#1074;&#1086;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59;&#1055;&#1048;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69;&#1057;&#1050;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42;&#1086;&#1088;&#1086;&#1074;&#1089;&#1082;&#1086;&#1075;&#1086;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58;&#1069;&#1062;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55;&#1088;&#1086;&#1074;&#1077;&#1088;&#1082;&#1072;%20&#1089;&#1074;&#1086;&#1076;&#1085;&#1086;&#1081;%20&#1074;&#1077;&#1076;&#1086;&#1084;&#1086;&#1089;&#1090;&#1080;%20&#1045;&#1069;&#1057;&#1050;%20&#1079;&#1072;%20&#1080;&#1102;&#1085;&#1100;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54;&#1090;&#1095;&#1077;&#1090;&#1099;\&#1045;&#1078;&#1077;&#1084;&#1077;&#1089;&#1103;&#1095;&#1085;&#1086;\&#1054;&#1073;&#1098;&#1077;&#1084;%20&#1080;%20&#1089;&#1090;&#1086;&#1080;&#1084;&#1086;&#1089;&#1090;&#1100;%20&#1087;&#1086;&#1090;&#1077;&#1088;&#1100;%20&#1074;%20&#1089;&#1077;&#1090;&#1103;&#1093;\2013\&#1055;&#1086;&#1090;&#1077;&#1088;&#1080;%20&#1074;%20&#1089;&#1077;&#1090;&#1103;&#1093;%20&#1058;&#1057;&#1054;,%20&#1089;&#1090;&#1086;&#1080;&#1084;&#1086;&#1089;&#1090;&#1100;%2001.2013-12.201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59;&#1058;&#1047;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54;&#1069;&#1057;&#1050;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53;&#1048;&#1047;&#1052;&#1050;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61;&#1083;&#1077;&#1073;&#1086;&#1087;&#1088;&#1086;&#1076;&#1091;&#1082;&#1090;&#1099;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46;&#1077;&#1083;&#1076;&#1086;&#1088;&#1088;&#1077;&#1084;&#1084;&#1072;&#1096;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59;&#1088;&#1072;&#1083;&#1089;&#1080;&#1073;&#1075;&#1080;&#1076;&#1088;&#1086;&#1084;&#1077;&#1093;&#1072;&#1085;&#1080;&#1079;&#1072;&#1094;&#1080;&#1103;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5%20&#1062;&#1072;&#1088;&#1079;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51;&#1086;&#1075;&#1080;&#1089;&#1090;&#1080;&#1095;&#1077;&#1089;&#1082;&#1080;&#1081;%20&#1094;&#1077;&#1085;&#1090;&#1088;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69;&#1060;&#1045;&#1057;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53;&#1086;&#1074;&#1072;&#1103;%20&#1090;&#1077;&#1088;&#1088;&#1080;&#1090;&#1086;&#1088;&#1080;&#1103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55;&#1090;&#1080;&#1094;&#1077;&#1092;&#1072;&#1073;&#1088;&#1080;&#1082;&#1072;%20&#1057;&#1074;&#1077;&#1088;&#1076;&#1083;&#1086;&#1074;&#1089;&#1082;&#1072;&#1103;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57;&#1059;&#1059;&#1088;&#1042;&#1054;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59;&#1047;&#1043;&#1040;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59;&#1069;&#1057;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55;&#1072;&#1090;&#1088;&#1072;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59;&#1088;&#1072;&#1083;%20&#1089;&#1077;&#1090;&#1100;%20&#1080;&#1085;&#1074;&#1077;&#1089;&#1090;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54;&#1073;&#1086;&#1088;&#1086;&#1085;&#1101;&#1085;&#1077;&#1088;&#1075;&#1086;)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56;&#1069;&#1057;&#1050;)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69;&#1085;&#1077;&#1088;&#1075;&#1086;&#1096;&#1072;&#1083;&#1103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61;&#1080;&#1084;&#1084;&#1072;&#1096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54;&#1073;&#1083;&#1082;&#1086;&#1084;&#1084;&#1091;&#1085;&#1101;&#1085;&#1077;&#1088;&#1075;&#1086;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56;&#1046;&#1044;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42;&#1077;&#1090;&#1090;&#1072;-&#1048;&#1085;&#1074;&#1077;&#1089;&#1090;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59;&#1069;&#1052;&#1047;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6%20&#1080;&#1102;&#1085;&#1100;%202013\&#1041;&#1072;&#1083;&#1072;&#1085;&#1089;&#1099;%20&#1058;&#1057;&#1054;\&#1058;&#1057;&#1054;\&#1041;&#1072;&#1083;&#1072;&#1085;&#1089;%20&#1058;&#1057;&#1054;%20(&#1047;&#1041;&#1052;&#105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.ведомость (скоррект)"/>
      <sheetName val="Св.ведомость (факт)"/>
      <sheetName val="Св.ведомость(стар)"/>
      <sheetName val="Лист1"/>
    </sheetNames>
    <sheetDataSet>
      <sheetData sheetId="0"/>
      <sheetData sheetId="1"/>
      <sheetData sheetId="2">
        <row r="17">
          <cell r="D17">
            <v>222.678</v>
          </cell>
          <cell r="E17">
            <v>47.042999999999999</v>
          </cell>
          <cell r="F17">
            <v>20675.252000000015</v>
          </cell>
          <cell r="G17">
            <v>97749.014169999951</v>
          </cell>
        </row>
        <row r="23">
          <cell r="N23">
            <v>97298.033000000025</v>
          </cell>
          <cell r="O23">
            <v>9446.3640000000014</v>
          </cell>
          <cell r="P23">
            <v>114586.87299999999</v>
          </cell>
          <cell r="Q23">
            <v>137487.88416000002</v>
          </cell>
        </row>
      </sheetData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Вектор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54.515999999999998</v>
          </cell>
        </row>
        <row r="6">
          <cell r="D6">
            <v>1036.5530000000001</v>
          </cell>
          <cell r="E6">
            <v>0</v>
          </cell>
          <cell r="F6">
            <v>84.707000000000008</v>
          </cell>
          <cell r="G6">
            <v>32.387000000000008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ВНИИМТ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19.84</v>
          </cell>
          <cell r="G5">
            <v>58.413000000000004</v>
          </cell>
        </row>
        <row r="6">
          <cell r="D6">
            <v>52.793999999999997</v>
          </cell>
          <cell r="E6">
            <v>0</v>
          </cell>
          <cell r="F6">
            <v>77.440999999999988</v>
          </cell>
          <cell r="G6">
            <v>47.222000000000001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>
        <row r="81">
          <cell r="G81">
            <v>2.7E-2</v>
          </cell>
        </row>
      </sheetData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Екатеринбурггаз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0</v>
          </cell>
          <cell r="E6">
            <v>0</v>
          </cell>
          <cell r="F6">
            <v>80.673999999999992</v>
          </cell>
          <cell r="G6">
            <v>8.2750000000000004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Юг-Энергосервис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1.72</v>
          </cell>
        </row>
        <row r="6">
          <cell r="D6">
            <v>1301.4870000000001</v>
          </cell>
          <cell r="E6">
            <v>0</v>
          </cell>
          <cell r="F6">
            <v>1212.6870000000001</v>
          </cell>
          <cell r="G6">
            <v>0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Аэропорт Кольцово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2.1470000000000002</v>
          </cell>
        </row>
        <row r="6">
          <cell r="D6">
            <v>0</v>
          </cell>
          <cell r="E6">
            <v>2042.348</v>
          </cell>
          <cell r="F6">
            <v>442.47399999999988</v>
          </cell>
          <cell r="G6">
            <v>14.229999999999999</v>
          </cell>
        </row>
        <row r="7">
          <cell r="D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УПИ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2262.4409999999998</v>
          </cell>
        </row>
        <row r="6">
          <cell r="D6">
            <v>4522.5749999999998</v>
          </cell>
          <cell r="E6">
            <v>0</v>
          </cell>
          <cell r="F6">
            <v>263.26600000000002</v>
          </cell>
          <cell r="G6">
            <v>45.012000000000171</v>
          </cell>
        </row>
        <row r="7">
          <cell r="D7">
            <v>24.388000000000002</v>
          </cell>
          <cell r="E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ЭСК)"/>
    </sheetNames>
    <definedNames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1753.7910000000004</v>
          </cell>
        </row>
        <row r="6">
          <cell r="D6">
            <v>0</v>
          </cell>
          <cell r="E6">
            <v>0</v>
          </cell>
          <cell r="F6">
            <v>557.55600000000004</v>
          </cell>
          <cell r="G6">
            <v>519.33500000000163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Воровского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282.68599999999998</v>
          </cell>
          <cell r="E6">
            <v>0</v>
          </cell>
          <cell r="F6">
            <v>8.52</v>
          </cell>
          <cell r="G6">
            <v>0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ТЭЦ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1959.6810000000003</v>
          </cell>
          <cell r="E6">
            <v>0</v>
          </cell>
          <cell r="F6">
            <v>0</v>
          </cell>
          <cell r="G6">
            <v>5.2089999999999996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"/>
      <sheetName val="Раскрытие информации (2)"/>
      <sheetName val="Лист1"/>
    </sheetNames>
    <sheetDataSet>
      <sheetData sheetId="0">
        <row r="51">
          <cell r="A51" t="str">
            <v>ООО "ЭФЕС"</v>
          </cell>
        </row>
        <row r="61">
          <cell r="J61">
            <v>0</v>
          </cell>
          <cell r="K61">
            <v>0</v>
          </cell>
          <cell r="Y61">
            <v>0</v>
          </cell>
          <cell r="Z61">
            <v>0</v>
          </cell>
        </row>
        <row r="66">
          <cell r="A66" t="str">
            <v>ОАО "ССП "Уралсибгидромеханизация"</v>
          </cell>
        </row>
        <row r="83">
          <cell r="A83" t="str">
            <v>ФГУП "Строительное управление Уральского военного округа"</v>
          </cell>
        </row>
        <row r="84">
          <cell r="A84" t="str">
            <v>ЗАО "Уральские электрические сети"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F7">
            <v>167.19800000000001</v>
          </cell>
        </row>
        <row r="14">
          <cell r="F14">
            <v>4.2859999999999996</v>
          </cell>
        </row>
        <row r="23">
          <cell r="F23">
            <v>22678.73</v>
          </cell>
        </row>
        <row r="28">
          <cell r="F28">
            <v>23.798999999999999</v>
          </cell>
        </row>
        <row r="35">
          <cell r="F35">
            <v>10.109</v>
          </cell>
        </row>
        <row r="44">
          <cell r="F44">
            <v>337.47699999999998</v>
          </cell>
        </row>
        <row r="49">
          <cell r="F49">
            <v>51.774999999999999</v>
          </cell>
        </row>
        <row r="70">
          <cell r="F70">
            <v>0.30499999999999999</v>
          </cell>
        </row>
        <row r="77">
          <cell r="F77">
            <v>123.199</v>
          </cell>
        </row>
        <row r="86">
          <cell r="F86">
            <v>27.829000000000001</v>
          </cell>
        </row>
        <row r="91">
          <cell r="F91">
            <v>1.762</v>
          </cell>
        </row>
        <row r="98">
          <cell r="F98">
            <v>2.028</v>
          </cell>
        </row>
        <row r="107">
          <cell r="F107">
            <v>1119.721</v>
          </cell>
        </row>
        <row r="112">
          <cell r="F112">
            <v>11.194000000000001</v>
          </cell>
        </row>
        <row r="119">
          <cell r="F119">
            <v>0.17799999999999999</v>
          </cell>
        </row>
        <row r="126">
          <cell r="F126">
            <v>33.250999999999998</v>
          </cell>
        </row>
        <row r="133">
          <cell r="F133">
            <v>4.117</v>
          </cell>
        </row>
        <row r="140">
          <cell r="F140">
            <v>9.4369999999999994</v>
          </cell>
        </row>
        <row r="147">
          <cell r="F147">
            <v>15.715999999999999</v>
          </cell>
        </row>
        <row r="157">
          <cell r="F157">
            <v>35.558</v>
          </cell>
        </row>
        <row r="163">
          <cell r="F163">
            <v>64.430999999999997</v>
          </cell>
        </row>
        <row r="168">
          <cell r="F168">
            <v>20.359000000000002</v>
          </cell>
        </row>
        <row r="179">
          <cell r="F179">
            <v>9.984</v>
          </cell>
        </row>
        <row r="182">
          <cell r="F182">
            <v>60.427999999999997</v>
          </cell>
        </row>
        <row r="189">
          <cell r="F189">
            <v>15.648999999999999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УТЗ)"/>
    </sheetNames>
    <definedNames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12.032</v>
          </cell>
          <cell r="E6">
            <v>0</v>
          </cell>
          <cell r="F6">
            <v>0</v>
          </cell>
          <cell r="G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ОЭСК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203.27199999999999</v>
          </cell>
          <cell r="G5">
            <v>249.60300000000001</v>
          </cell>
        </row>
        <row r="6">
          <cell r="D6">
            <v>0</v>
          </cell>
          <cell r="E6">
            <v>0</v>
          </cell>
          <cell r="F6">
            <v>122.86199999999991</v>
          </cell>
          <cell r="G6">
            <v>174.71699999999987</v>
          </cell>
        </row>
        <row r="7">
          <cell r="D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>
        <row r="65">
          <cell r="G65">
            <v>3.6429999999999998</v>
          </cell>
        </row>
      </sheetData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НИЗМК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308.39699999999999</v>
          </cell>
          <cell r="E6">
            <v>0</v>
          </cell>
          <cell r="F6">
            <v>91.542999999999978</v>
          </cell>
          <cell r="G6">
            <v>33.418999999999997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Хлебопродукты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17.564</v>
          </cell>
          <cell r="G5">
            <v>40.266366046534898</v>
          </cell>
        </row>
        <row r="6">
          <cell r="D6">
            <v>412.94</v>
          </cell>
          <cell r="E6">
            <v>0</v>
          </cell>
          <cell r="F6">
            <v>151.70399999999998</v>
          </cell>
          <cell r="G6">
            <v>8.8320000000000078</v>
          </cell>
        </row>
      </sheetData>
      <sheetData sheetId="3" refreshError="1"/>
      <sheetData sheetId="4" refreshError="1"/>
      <sheetData sheetId="5">
        <row r="8">
          <cell r="G8">
            <v>412.94</v>
          </cell>
        </row>
      </sheetData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Желдорреммаш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707.18600000000004</v>
          </cell>
          <cell r="E6">
            <v>0</v>
          </cell>
          <cell r="F6">
            <v>0</v>
          </cell>
          <cell r="G6">
            <v>0.16600000000000001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Уралсибгидромеханиз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0</v>
          </cell>
          <cell r="E6">
            <v>0</v>
          </cell>
          <cell r="F6">
            <v>70.316000000000003</v>
          </cell>
          <cell r="G6">
            <v>0</v>
          </cell>
        </row>
        <row r="7">
          <cell r="D7">
            <v>0</v>
          </cell>
          <cell r="E7">
            <v>0</v>
          </cell>
          <cell r="G7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5 Царз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4.5999999999999996</v>
          </cell>
          <cell r="G5">
            <v>0</v>
          </cell>
        </row>
        <row r="6">
          <cell r="D6">
            <v>19.479000000000003</v>
          </cell>
          <cell r="E6">
            <v>0</v>
          </cell>
          <cell r="F6">
            <v>45.176000000000002</v>
          </cell>
          <cell r="G6">
            <v>0.69399999999999995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Логистический центр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32.25</v>
          </cell>
          <cell r="E6">
            <v>0</v>
          </cell>
          <cell r="F6">
            <v>93.59899999999999</v>
          </cell>
          <cell r="G6">
            <v>45.48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ЭФЕС)"/>
    </sheetNames>
    <definedNames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/>
      <sheetData sheetId="2">
        <row r="5">
          <cell r="D5">
            <v>0</v>
          </cell>
          <cell r="E5">
            <v>0</v>
          </cell>
          <cell r="F5">
            <v>53.847000000000001</v>
          </cell>
          <cell r="G5">
            <v>159.959</v>
          </cell>
        </row>
        <row r="6">
          <cell r="D6">
            <v>0</v>
          </cell>
          <cell r="E6">
            <v>0</v>
          </cell>
          <cell r="F6">
            <v>21.459999999999987</v>
          </cell>
          <cell r="G6">
            <v>15.974000000000018</v>
          </cell>
        </row>
        <row r="7">
          <cell r="D7">
            <v>0</v>
          </cell>
          <cell r="E7">
            <v>0</v>
          </cell>
          <cell r="G7">
            <v>0</v>
          </cell>
        </row>
      </sheetData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Новая территория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260.85400000000004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160.10199999999986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Птицефабрика Свердл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3.04</v>
          </cell>
          <cell r="F5">
            <v>22.746000000000002</v>
          </cell>
          <cell r="G5">
            <v>30.181000000000001</v>
          </cell>
        </row>
        <row r="6">
          <cell r="D6">
            <v>0</v>
          </cell>
          <cell r="E6">
            <v>588.74700000000007</v>
          </cell>
          <cell r="F6">
            <v>78.25800000000001</v>
          </cell>
          <cell r="G6">
            <v>10.837</v>
          </cell>
        </row>
        <row r="7">
          <cell r="D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СУУрВО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18.044</v>
          </cell>
          <cell r="F5">
            <v>0</v>
          </cell>
          <cell r="G5">
            <v>145.56900000000002</v>
          </cell>
        </row>
        <row r="6">
          <cell r="D6">
            <v>0</v>
          </cell>
          <cell r="E6">
            <v>455.40300000000002</v>
          </cell>
          <cell r="F6">
            <v>87.617000000000004</v>
          </cell>
          <cell r="G6">
            <v>15.713000000000022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>
        <row r="65">
          <cell r="G65">
            <v>39.987000000000002</v>
          </cell>
        </row>
      </sheetData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УЗГА)"/>
    </sheetNames>
    <definedNames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12.106999999999999</v>
          </cell>
          <cell r="G5">
            <v>0</v>
          </cell>
        </row>
        <row r="6">
          <cell r="D6">
            <v>335.95100000000002</v>
          </cell>
          <cell r="E6">
            <v>0</v>
          </cell>
          <cell r="F6">
            <v>207.58200000000002</v>
          </cell>
          <cell r="G6">
            <v>9.9319999999999986</v>
          </cell>
        </row>
        <row r="7"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УЭС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0</v>
          </cell>
          <cell r="E6">
            <v>0</v>
          </cell>
          <cell r="F6">
            <v>1224.0540000000001</v>
          </cell>
          <cell r="G6">
            <v>8.8019999999999996</v>
          </cell>
        </row>
        <row r="7">
          <cell r="D7">
            <v>0</v>
          </cell>
          <cell r="E7">
            <v>0</v>
          </cell>
          <cell r="G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Патра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1461.433</v>
          </cell>
          <cell r="E6">
            <v>0</v>
          </cell>
          <cell r="F6">
            <v>124.084</v>
          </cell>
          <cell r="G6">
            <v>7.4829999999999988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Урал сеть инвест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303.56</v>
          </cell>
          <cell r="G5">
            <v>0</v>
          </cell>
        </row>
        <row r="6">
          <cell r="D6">
            <v>0</v>
          </cell>
          <cell r="E6">
            <v>0</v>
          </cell>
          <cell r="F6">
            <v>1110.3410000000001</v>
          </cell>
          <cell r="G6">
            <v>105.941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Оборонэнерго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233.13700000000003</v>
          </cell>
          <cell r="G5">
            <v>177.28100000000001</v>
          </cell>
        </row>
        <row r="6">
          <cell r="D6">
            <v>0</v>
          </cell>
          <cell r="E6">
            <v>122.227</v>
          </cell>
          <cell r="F6">
            <v>1105.0670000000002</v>
          </cell>
          <cell r="G6">
            <v>71.435000000000059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>
        <row r="193">
          <cell r="G193">
            <v>15.608000000000001</v>
          </cell>
        </row>
      </sheetData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РЭСК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279.33999999999997</v>
          </cell>
          <cell r="G5">
            <v>25.438000000000002</v>
          </cell>
        </row>
        <row r="6">
          <cell r="D6">
            <v>0</v>
          </cell>
          <cell r="E6">
            <v>0</v>
          </cell>
          <cell r="F6">
            <v>89.342000000000041</v>
          </cell>
          <cell r="G6">
            <v>0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Энергошаля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0</v>
          </cell>
          <cell r="E6">
            <v>0</v>
          </cell>
          <cell r="F6">
            <v>873.42600000000004</v>
          </cell>
          <cell r="G6">
            <v>1.59</v>
          </cell>
        </row>
        <row r="7">
          <cell r="D7">
            <v>0</v>
          </cell>
          <cell r="E7">
            <v>0</v>
          </cell>
          <cell r="G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Химмаш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0.4</v>
          </cell>
          <cell r="G5">
            <v>0</v>
          </cell>
        </row>
        <row r="6">
          <cell r="D6">
            <v>2874.7739999999999</v>
          </cell>
          <cell r="E6">
            <v>0</v>
          </cell>
          <cell r="F6">
            <v>648.01700000000017</v>
          </cell>
          <cell r="G6">
            <v>10.369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Облкоммунэнерго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180.89400000000003</v>
          </cell>
          <cell r="G5">
            <v>339.28000000000003</v>
          </cell>
        </row>
        <row r="6">
          <cell r="D6">
            <v>0</v>
          </cell>
          <cell r="E6">
            <v>0</v>
          </cell>
          <cell r="F6">
            <v>437.96399999999994</v>
          </cell>
          <cell r="G6">
            <v>121.37899999999996</v>
          </cell>
        </row>
        <row r="7">
          <cell r="D7">
            <v>0</v>
          </cell>
          <cell r="E7">
            <v>0</v>
          </cell>
          <cell r="G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РЖД)"/>
    </sheetNames>
    <definedNames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52.721000000000011</v>
          </cell>
          <cell r="G5">
            <v>420.2600000000001</v>
          </cell>
        </row>
        <row r="6">
          <cell r="D6">
            <v>1236.624</v>
          </cell>
          <cell r="E6">
            <v>0</v>
          </cell>
          <cell r="F6">
            <v>778.15099999999984</v>
          </cell>
          <cell r="G6">
            <v>283.7620000000004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Ветта-Инвест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28.110000000000003</v>
          </cell>
          <cell r="G5">
            <v>279.53099999999984</v>
          </cell>
        </row>
        <row r="6">
          <cell r="D6">
            <v>2.5720000000000001</v>
          </cell>
          <cell r="E6">
            <v>0</v>
          </cell>
          <cell r="F6">
            <v>74.987000000000009</v>
          </cell>
          <cell r="G6">
            <v>80.884999999999991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УЭМЗ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17.84</v>
          </cell>
        </row>
        <row r="6">
          <cell r="D6">
            <v>1911.634</v>
          </cell>
          <cell r="E6">
            <v>0</v>
          </cell>
          <cell r="F6">
            <v>687.16000000000008</v>
          </cell>
          <cell r="G6">
            <v>35.564999999999998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ЗБМО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215.16699999999997</v>
          </cell>
          <cell r="E6">
            <v>0</v>
          </cell>
          <cell r="F6">
            <v>168.19900000000001</v>
          </cell>
          <cell r="G6">
            <v>0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63"/>
  <sheetViews>
    <sheetView tabSelected="1" zoomScale="80" zoomScaleNormal="80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N15" sqref="N15"/>
    </sheetView>
  </sheetViews>
  <sheetFormatPr defaultRowHeight="12.75"/>
  <cols>
    <col min="1" max="1" width="9.140625" style="1"/>
    <col min="2" max="2" width="47.5703125" style="43" customWidth="1"/>
    <col min="3" max="3" width="14.7109375" style="3" customWidth="1"/>
    <col min="4" max="19" width="13.28515625" style="3" customWidth="1"/>
    <col min="20" max="20" width="2.5703125" style="53" customWidth="1"/>
    <col min="21" max="21" width="9.140625" style="54"/>
    <col min="22" max="16384" width="9.140625" style="53"/>
  </cols>
  <sheetData>
    <row r="2" spans="1:19" ht="20.25">
      <c r="B2" s="2" t="s">
        <v>0</v>
      </c>
      <c r="R2" s="4"/>
      <c r="S2" s="5" t="s">
        <v>1</v>
      </c>
    </row>
    <row r="4" spans="1:19" s="55" customFormat="1" ht="22.5" customHeight="1">
      <c r="A4" s="49" t="s">
        <v>2</v>
      </c>
      <c r="B4" s="49" t="s">
        <v>3</v>
      </c>
      <c r="C4" s="51" t="s">
        <v>4</v>
      </c>
      <c r="D4" s="48" t="s">
        <v>5</v>
      </c>
      <c r="E4" s="48"/>
      <c r="F4" s="48"/>
      <c r="G4" s="48"/>
      <c r="H4" s="48" t="s">
        <v>6</v>
      </c>
      <c r="I4" s="48"/>
      <c r="J4" s="48"/>
      <c r="K4" s="48"/>
      <c r="L4" s="48" t="s">
        <v>7</v>
      </c>
      <c r="M4" s="48"/>
      <c r="N4" s="48"/>
      <c r="O4" s="48"/>
      <c r="P4" s="48" t="s">
        <v>8</v>
      </c>
      <c r="Q4" s="48"/>
      <c r="R4" s="48"/>
      <c r="S4" s="48"/>
    </row>
    <row r="5" spans="1:19" s="30" customFormat="1" ht="27.75" customHeight="1">
      <c r="A5" s="50"/>
      <c r="B5" s="50"/>
      <c r="C5" s="52"/>
      <c r="D5" s="6" t="s">
        <v>9</v>
      </c>
      <c r="E5" s="6" t="s">
        <v>10</v>
      </c>
      <c r="F5" s="6" t="s">
        <v>11</v>
      </c>
      <c r="G5" s="6" t="s">
        <v>12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9</v>
      </c>
      <c r="M5" s="6" t="s">
        <v>10</v>
      </c>
      <c r="N5" s="6" t="s">
        <v>11</v>
      </c>
      <c r="O5" s="6" t="s">
        <v>12</v>
      </c>
      <c r="P5" s="6" t="s">
        <v>9</v>
      </c>
      <c r="Q5" s="6" t="s">
        <v>10</v>
      </c>
      <c r="R5" s="6" t="s">
        <v>11</v>
      </c>
      <c r="S5" s="6" t="s">
        <v>12</v>
      </c>
    </row>
    <row r="6" spans="1:19" s="30" customFormat="1" ht="25.5" customHeight="1">
      <c r="A6" s="7">
        <v>1</v>
      </c>
      <c r="B6" s="8" t="s">
        <v>13</v>
      </c>
      <c r="C6" s="9">
        <f>SUM(D6:G6)</f>
        <v>340102.96779395349</v>
      </c>
      <c r="D6" s="10">
        <f>SUM(H6+L6+P6)</f>
        <v>102385.88100000001</v>
      </c>
      <c r="E6" s="10">
        <f>SUM(I6+M6+Q6)</f>
        <v>6216.5550000000012</v>
      </c>
      <c r="F6" s="10">
        <f>SUM(J6+N6+R6)</f>
        <v>102166.485</v>
      </c>
      <c r="G6" s="10">
        <f>SUM(K6+O6+S6)</f>
        <v>129334.04679395347</v>
      </c>
      <c r="H6" s="10">
        <f>'[1]Св.ведомость(стар)'!$N$23-'[1]Св.ведомость(стар)'!$D$17-SUM(H7:H41)+'[2]06'!$F$107-L19</f>
        <v>79484.473000000013</v>
      </c>
      <c r="I6" s="10">
        <f>'[1]Св.ведомость(стар)'!$O$23-'[1]Св.ведомость(стар)'!$E$17-SUM(I7:I41)</f>
        <v>6190.5960000000014</v>
      </c>
      <c r="J6" s="10">
        <f>'[1]Св.ведомость(стар)'!$P$23-'[1]Св.ведомость(стар)'!$F$17-SUM(J7:J41)+'[2]06'!$F$179</f>
        <v>82903.370999999985</v>
      </c>
      <c r="K6" s="10">
        <f>'[1]Св.ведомость(стар)'!$Q$23-'[1]Св.ведомость(стар)'!$G$17-SUM(K7:K41)</f>
        <v>37864.122990000062</v>
      </c>
      <c r="L6" s="11">
        <f>'[2]06'!$F$23</f>
        <v>22678.73</v>
      </c>
      <c r="M6" s="12">
        <v>0</v>
      </c>
      <c r="N6" s="12">
        <v>0</v>
      </c>
      <c r="O6" s="12">
        <v>0</v>
      </c>
      <c r="P6" s="10">
        <f>'[1]Св.ведомость(стар)'!$D$17-SUM(P7:P41)</f>
        <v>222.678</v>
      </c>
      <c r="Q6" s="10">
        <f>'[1]Св.ведомость(стар)'!$E$17-SUM(Q7:Q41)</f>
        <v>25.959</v>
      </c>
      <c r="R6" s="10">
        <f>'[1]Св.ведомость(стар)'!$F$17-SUM(R7:R41)</f>
        <v>19263.114000000016</v>
      </c>
      <c r="S6" s="10">
        <f>'[1]Св.ведомость(стар)'!$G$17-SUM(S7:S41)</f>
        <v>91469.92380395341</v>
      </c>
    </row>
    <row r="7" spans="1:19" s="30" customFormat="1" ht="25.5" customHeight="1">
      <c r="A7" s="7">
        <f>A6+1</f>
        <v>2</v>
      </c>
      <c r="B7" s="8" t="s">
        <v>14</v>
      </c>
      <c r="C7" s="9">
        <f t="shared" ref="C7:C37" si="0">SUM(D7:G7)</f>
        <v>737.92600000000004</v>
      </c>
      <c r="D7" s="13">
        <f>SUM(H7+L7+P7)</f>
        <v>0</v>
      </c>
      <c r="E7" s="10">
        <f t="shared" ref="D7:G26" si="1">SUM(I7+M7+Q7)</f>
        <v>595.904</v>
      </c>
      <c r="F7" s="10">
        <f t="shared" si="1"/>
        <v>101.00400000000002</v>
      </c>
      <c r="G7" s="10">
        <f t="shared" si="1"/>
        <v>41.018000000000001</v>
      </c>
      <c r="H7" s="12">
        <f>[3]!РаскрытиеПрочиеВН</f>
        <v>0</v>
      </c>
      <c r="I7" s="11">
        <f>[3]!РаскрытиеПрочиеСН1</f>
        <v>588.74700000000007</v>
      </c>
      <c r="J7" s="11">
        <f>[3]!РаскрытиеПрочиеСН2</f>
        <v>78.25800000000001</v>
      </c>
      <c r="K7" s="11">
        <f>[3]!РаскрытиеПрочиеНН</f>
        <v>10.837</v>
      </c>
      <c r="L7" s="12">
        <f>[3]!РаскрытиеПотериВН</f>
        <v>0</v>
      </c>
      <c r="M7" s="11">
        <f>'[2]06'!$F$133</f>
        <v>4.117</v>
      </c>
      <c r="N7" s="12">
        <f>[3]!РаскрытиеПотериСН2</f>
        <v>0</v>
      </c>
      <c r="O7" s="12">
        <f>[3]!РаскрытиеПотериНН</f>
        <v>0</v>
      </c>
      <c r="P7" s="12">
        <f>[3]!РаскрытиеНаселениеВН</f>
        <v>0</v>
      </c>
      <c r="Q7" s="11">
        <f>[3]!РаскрытиеНаселениеСН1</f>
        <v>3.04</v>
      </c>
      <c r="R7" s="11">
        <f>[3]!РаскрытиеНаселениеСН2</f>
        <v>22.746000000000002</v>
      </c>
      <c r="S7" s="11">
        <f>[3]!РаскрытиеНаселениеНН</f>
        <v>30.181000000000001</v>
      </c>
    </row>
    <row r="8" spans="1:19" s="30" customFormat="1" ht="25.5" customHeight="1">
      <c r="A8" s="7">
        <f t="shared" ref="A8:A41" si="2">A7+1</f>
        <v>3</v>
      </c>
      <c r="B8" s="8" t="s">
        <v>15</v>
      </c>
      <c r="C8" s="9">
        <f t="shared" si="0"/>
        <v>3553.9190000000003</v>
      </c>
      <c r="D8" s="13">
        <f t="shared" si="1"/>
        <v>2895.1329999999998</v>
      </c>
      <c r="E8" s="10">
        <f t="shared" si="1"/>
        <v>0</v>
      </c>
      <c r="F8" s="10">
        <f t="shared" si="1"/>
        <v>648.41700000000014</v>
      </c>
      <c r="G8" s="10">
        <f t="shared" si="1"/>
        <v>10.369</v>
      </c>
      <c r="H8" s="11">
        <f>[4]!РаскрытиеПрочиеВН</f>
        <v>2874.7739999999999</v>
      </c>
      <c r="I8" s="11">
        <f>[4]!РаскрытиеПрочиеСН1</f>
        <v>0</v>
      </c>
      <c r="J8" s="11">
        <f>[4]!РаскрытиеПрочиеСН2</f>
        <v>648.01700000000017</v>
      </c>
      <c r="K8" s="11">
        <f>[4]!РаскрытиеПрочиеНН</f>
        <v>10.369</v>
      </c>
      <c r="L8" s="14">
        <f>'[2]06'!$F$168</f>
        <v>20.359000000000002</v>
      </c>
      <c r="M8" s="12">
        <f>[4]!РаскрытиеПотериСН1</f>
        <v>0</v>
      </c>
      <c r="N8" s="12">
        <f>[4]!РаскрытиеПотериСН2</f>
        <v>0</v>
      </c>
      <c r="O8" s="12">
        <f>[4]!РаскрытиеПотериНН</f>
        <v>0</v>
      </c>
      <c r="P8" s="12">
        <f>[4]!РаскрытиеНаселениеВН</f>
        <v>0</v>
      </c>
      <c r="Q8" s="11">
        <f>[4]!РаскрытиеНаселениеСН1</f>
        <v>0</v>
      </c>
      <c r="R8" s="11">
        <f>[4]!РаскрытиеНаселениеСН2</f>
        <v>0.4</v>
      </c>
      <c r="S8" s="11">
        <f>[4]!РаскрытиеНаселениеНН</f>
        <v>0</v>
      </c>
    </row>
    <row r="9" spans="1:19" s="30" customFormat="1" ht="25.5" customHeight="1">
      <c r="A9" s="7">
        <f t="shared" si="2"/>
        <v>4</v>
      </c>
      <c r="B9" s="8" t="s">
        <v>16</v>
      </c>
      <c r="C9" s="9">
        <f t="shared" si="0"/>
        <v>1246.7149999999999</v>
      </c>
      <c r="D9" s="13">
        <f t="shared" si="1"/>
        <v>0</v>
      </c>
      <c r="E9" s="13">
        <f t="shared" si="1"/>
        <v>0</v>
      </c>
      <c r="F9" s="10">
        <f t="shared" si="1"/>
        <v>786.05599999999993</v>
      </c>
      <c r="G9" s="10">
        <f t="shared" si="1"/>
        <v>460.65899999999999</v>
      </c>
      <c r="H9" s="12">
        <f>[5]!РаскрытиеПрочиеВН</f>
        <v>0</v>
      </c>
      <c r="I9" s="12">
        <f>[5]!РаскрытиеПрочиеСН1</f>
        <v>0</v>
      </c>
      <c r="J9" s="11">
        <f>[5]!РаскрытиеПрочиеСН2</f>
        <v>437.96399999999994</v>
      </c>
      <c r="K9" s="11">
        <f>[5]!РаскрытиеПрочиеНН</f>
        <v>121.37899999999996</v>
      </c>
      <c r="L9" s="12">
        <f>[5]!РаскрытиеПотериВН</f>
        <v>0</v>
      </c>
      <c r="M9" s="12">
        <f>[5]!РаскрытиеПотериСН1</f>
        <v>0</v>
      </c>
      <c r="N9" s="11">
        <f>'[2]06'!$F$7</f>
        <v>167.19800000000001</v>
      </c>
      <c r="O9" s="12">
        <f>[5]!РаскрытиеПотериНН</f>
        <v>0</v>
      </c>
      <c r="P9" s="12">
        <f>[5]!РаскрытиеНаселениеВН</f>
        <v>0</v>
      </c>
      <c r="Q9" s="12">
        <f>[5]!РаскрытиеНаселениеСН1</f>
        <v>0</v>
      </c>
      <c r="R9" s="11">
        <f>[5]!РаскрытиеНаселениеСН2</f>
        <v>180.89400000000003</v>
      </c>
      <c r="S9" s="11">
        <f>[5]!РаскрытиеНаселениеНН</f>
        <v>339.28000000000003</v>
      </c>
    </row>
    <row r="10" spans="1:19" s="30" customFormat="1" ht="25.5" customHeight="1">
      <c r="A10" s="15">
        <f t="shared" si="2"/>
        <v>5</v>
      </c>
      <c r="B10" s="16" t="s">
        <v>17</v>
      </c>
      <c r="C10" s="17">
        <f t="shared" si="0"/>
        <v>2771.5180000000005</v>
      </c>
      <c r="D10" s="18">
        <f t="shared" si="1"/>
        <v>1236.624</v>
      </c>
      <c r="E10" s="19">
        <f t="shared" si="1"/>
        <v>0</v>
      </c>
      <c r="F10" s="18">
        <f>SUM(J10+N10+R10)</f>
        <v>830.87199999999984</v>
      </c>
      <c r="G10" s="18">
        <f t="shared" si="1"/>
        <v>704.0220000000005</v>
      </c>
      <c r="H10" s="20">
        <f>[6]!РаскрытиеПрочиеВН</f>
        <v>1236.624</v>
      </c>
      <c r="I10" s="21">
        <f>[6]!РаскрытиеПрочиеСН1</f>
        <v>0</v>
      </c>
      <c r="J10" s="20">
        <f>[6]!РаскрытиеПрочиеСН2</f>
        <v>778.15099999999984</v>
      </c>
      <c r="K10" s="20">
        <f>[6]!РаскрытиеПрочиеНН</f>
        <v>283.7620000000004</v>
      </c>
      <c r="L10" s="21">
        <f>[6]!РаскрытиеПотериВН</f>
        <v>0</v>
      </c>
      <c r="M10" s="21">
        <f>[6]!РаскрытиеПотериСН1</f>
        <v>0</v>
      </c>
      <c r="N10" s="21">
        <f>[6]!РаскрытиеПотериСН2</f>
        <v>0</v>
      </c>
      <c r="O10" s="21">
        <f>[6]!РаскрытиеПотериНН</f>
        <v>0</v>
      </c>
      <c r="P10" s="21">
        <f>'[6]Информация для отчётов'!$D$5</f>
        <v>0</v>
      </c>
      <c r="Q10" s="21">
        <f>[6]!РаскрытиеНаселениеСН1</f>
        <v>0</v>
      </c>
      <c r="R10" s="20">
        <f>[6]!РаскрытиеНаселениеСН2</f>
        <v>52.721000000000011</v>
      </c>
      <c r="S10" s="20">
        <f>'[6]Информация для отчётов'!$G$5</f>
        <v>420.2600000000001</v>
      </c>
    </row>
    <row r="11" spans="1:19" s="30" customFormat="1" ht="25.5" customHeight="1">
      <c r="A11" s="7">
        <f t="shared" si="2"/>
        <v>6</v>
      </c>
      <c r="B11" s="8" t="s">
        <v>18</v>
      </c>
      <c r="C11" s="9">
        <f t="shared" si="0"/>
        <v>470.37099999999987</v>
      </c>
      <c r="D11" s="10">
        <f t="shared" si="1"/>
        <v>6.8579999999999997</v>
      </c>
      <c r="E11" s="13">
        <f t="shared" si="1"/>
        <v>0</v>
      </c>
      <c r="F11" s="10">
        <f t="shared" si="1"/>
        <v>103.09700000000001</v>
      </c>
      <c r="G11" s="10">
        <f t="shared" si="1"/>
        <v>360.41599999999983</v>
      </c>
      <c r="H11" s="11">
        <f>[7]!РаскрытиеПрочиеВН</f>
        <v>2.5720000000000001</v>
      </c>
      <c r="I11" s="12">
        <f>[7]!РаскрытиеПрочиеСН1</f>
        <v>0</v>
      </c>
      <c r="J11" s="11">
        <f>[7]!РаскрытиеПрочиеСН2</f>
        <v>74.987000000000009</v>
      </c>
      <c r="K11" s="11">
        <f>[7]!РаскрытиеПрочиеНН</f>
        <v>80.884999999999991</v>
      </c>
      <c r="L11" s="11">
        <f>'[2]06'!$F$14</f>
        <v>4.2859999999999996</v>
      </c>
      <c r="M11" s="12">
        <f>[7]!РаскрытиеПотериСН1</f>
        <v>0</v>
      </c>
      <c r="N11" s="12">
        <f>[7]!РаскрытиеПотериСН2</f>
        <v>0</v>
      </c>
      <c r="O11" s="12">
        <f>[7]!РаскрытиеПотериНН</f>
        <v>0</v>
      </c>
      <c r="P11" s="12">
        <f>[7]!РаскрытиеНаселениеВН</f>
        <v>0</v>
      </c>
      <c r="Q11" s="12">
        <f>[7]!РаскрытиеНаселениеСН1</f>
        <v>0</v>
      </c>
      <c r="R11" s="11">
        <f>[7]!РаскрытиеНаселениеСН2</f>
        <v>28.110000000000003</v>
      </c>
      <c r="S11" s="11">
        <f>[7]!РаскрытиеНаселениеНН</f>
        <v>279.53099999999984</v>
      </c>
    </row>
    <row r="12" spans="1:19" s="30" customFormat="1" ht="25.5" customHeight="1">
      <c r="A12" s="7">
        <f t="shared" si="2"/>
        <v>7</v>
      </c>
      <c r="B12" s="22" t="s">
        <v>19</v>
      </c>
      <c r="C12" s="9">
        <f t="shared" si="0"/>
        <v>2685.4500000000003</v>
      </c>
      <c r="D12" s="10">
        <f>SUM(H12+L12+P12)</f>
        <v>1944.885</v>
      </c>
      <c r="E12" s="13">
        <f>SUM(I12+M12+Q12)</f>
        <v>0</v>
      </c>
      <c r="F12" s="10">
        <f>SUM(J12+N12+R12)</f>
        <v>687.16000000000008</v>
      </c>
      <c r="G12" s="10">
        <f>SUM(K12+O12+S12)</f>
        <v>53.405000000000001</v>
      </c>
      <c r="H12" s="11">
        <f>[8]!РаскрытиеПрочиеВН</f>
        <v>1911.634</v>
      </c>
      <c r="I12" s="12">
        <f>[8]!РаскрытиеПрочиеСН1</f>
        <v>0</v>
      </c>
      <c r="J12" s="11">
        <f>[8]!РаскрытиеПрочиеСН2</f>
        <v>687.16000000000008</v>
      </c>
      <c r="K12" s="11">
        <f>[8]!РаскрытиеПрочиеНН</f>
        <v>35.564999999999998</v>
      </c>
      <c r="L12" s="11">
        <f>'[2]06'!$F$126</f>
        <v>33.250999999999998</v>
      </c>
      <c r="M12" s="12">
        <f>[8]!РаскрытиеПотериСН1</f>
        <v>0</v>
      </c>
      <c r="N12" s="12">
        <f>[8]!РаскрытиеПотериСН2</f>
        <v>0</v>
      </c>
      <c r="O12" s="12">
        <f>[8]!РаскрытиеПотериНН</f>
        <v>0</v>
      </c>
      <c r="P12" s="12">
        <f>[8]!РаскрытиеНаселениеВН</f>
        <v>0</v>
      </c>
      <c r="Q12" s="12">
        <f>[8]!РаскрытиеНаселениеСН1</f>
        <v>0</v>
      </c>
      <c r="R12" s="12">
        <f>[8]!РаскрытиеНаселениеСН2</f>
        <v>0</v>
      </c>
      <c r="S12" s="11">
        <f>[8]!РаскрытиеНаселениеНН</f>
        <v>17.84</v>
      </c>
    </row>
    <row r="13" spans="1:19" s="30" customFormat="1" ht="25.5" customHeight="1">
      <c r="A13" s="7">
        <f t="shared" si="2"/>
        <v>8</v>
      </c>
      <c r="B13" s="22" t="s">
        <v>20</v>
      </c>
      <c r="C13" s="9">
        <f t="shared" si="0"/>
        <v>394.55999999999995</v>
      </c>
      <c r="D13" s="10">
        <f t="shared" si="1"/>
        <v>226.36099999999996</v>
      </c>
      <c r="E13" s="13">
        <f t="shared" si="1"/>
        <v>0</v>
      </c>
      <c r="F13" s="10">
        <f t="shared" si="1"/>
        <v>168.19900000000001</v>
      </c>
      <c r="G13" s="13">
        <f t="shared" si="1"/>
        <v>0</v>
      </c>
      <c r="H13" s="11">
        <f>[9]!РаскрытиеПрочиеВН</f>
        <v>215.16699999999997</v>
      </c>
      <c r="I13" s="12">
        <f>[9]!РаскрытиеПрочиеСН1</f>
        <v>0</v>
      </c>
      <c r="J13" s="11">
        <f>[9]!РаскрытиеПрочиеСН2</f>
        <v>168.19900000000001</v>
      </c>
      <c r="K13" s="12">
        <f>[9]!РаскрытиеПрочиеНН</f>
        <v>0</v>
      </c>
      <c r="L13" s="11">
        <f>'[2]06'!$F$112</f>
        <v>11.194000000000001</v>
      </c>
      <c r="M13" s="12">
        <f>[9]!РаскрытиеПотериСН1</f>
        <v>0</v>
      </c>
      <c r="N13" s="12">
        <f>[9]!РаскрытиеПотериСН2</f>
        <v>0</v>
      </c>
      <c r="O13" s="12">
        <f>[9]!РаскрытиеПотериНН</f>
        <v>0</v>
      </c>
      <c r="P13" s="12">
        <f>[9]!РаскрытиеНаселениеВН</f>
        <v>0</v>
      </c>
      <c r="Q13" s="12">
        <f>[9]!РаскрытиеНаселениеСН1</f>
        <v>0</v>
      </c>
      <c r="R13" s="12">
        <f>[9]!РаскрытиеНаселениеСН2</f>
        <v>0</v>
      </c>
      <c r="S13" s="12">
        <f>[9]!РаскрытиеНаселениеНН</f>
        <v>0</v>
      </c>
    </row>
    <row r="14" spans="1:19" s="30" customFormat="1" ht="25.5" customHeight="1">
      <c r="A14" s="15">
        <f t="shared" si="2"/>
        <v>9</v>
      </c>
      <c r="B14" s="23" t="s">
        <v>21</v>
      </c>
      <c r="C14" s="17">
        <f t="shared" si="0"/>
        <v>1208.1630000000002</v>
      </c>
      <c r="D14" s="18">
        <f t="shared" si="1"/>
        <v>1036.5530000000001</v>
      </c>
      <c r="E14" s="19">
        <f t="shared" si="1"/>
        <v>0</v>
      </c>
      <c r="F14" s="18">
        <f t="shared" si="1"/>
        <v>84.707000000000008</v>
      </c>
      <c r="G14" s="18">
        <f t="shared" si="1"/>
        <v>86.903000000000006</v>
      </c>
      <c r="H14" s="20">
        <f>[10]!РаскрытиеПрочиеВН</f>
        <v>1036.5530000000001</v>
      </c>
      <c r="I14" s="21">
        <f>[10]!РаскрытиеПрочиеСН1</f>
        <v>0</v>
      </c>
      <c r="J14" s="20">
        <f>[10]!РаскрытиеПрочиеСН2</f>
        <v>84.707000000000008</v>
      </c>
      <c r="K14" s="20">
        <f>[10]!РаскрытиеПрочиеНН</f>
        <v>32.387000000000008</v>
      </c>
      <c r="L14" s="21">
        <f>[10]!РаскрытиеПотериВН</f>
        <v>0</v>
      </c>
      <c r="M14" s="21">
        <f>[10]!РаскрытиеПотериСН1</f>
        <v>0</v>
      </c>
      <c r="N14" s="21">
        <f>[10]!РаскрытиеПотериСН2</f>
        <v>0</v>
      </c>
      <c r="O14" s="21">
        <f>[10]!РаскрытиеПотериНН</f>
        <v>0</v>
      </c>
      <c r="P14" s="21">
        <f>[10]!РаскрытиеНаселениеВН</f>
        <v>0</v>
      </c>
      <c r="Q14" s="21">
        <f>[10]!РаскрытиеНаселениеСН1</f>
        <v>0</v>
      </c>
      <c r="R14" s="21">
        <f>[10]!РаскрытиеНаселениеСН2</f>
        <v>0</v>
      </c>
      <c r="S14" s="20">
        <f>[10]!РаскрытиеНаселениеНН</f>
        <v>54.515999999999998</v>
      </c>
    </row>
    <row r="15" spans="1:19" s="30" customFormat="1" ht="25.5" customHeight="1">
      <c r="A15" s="7">
        <f t="shared" si="2"/>
        <v>10</v>
      </c>
      <c r="B15" s="8" t="s">
        <v>22</v>
      </c>
      <c r="C15" s="9">
        <f t="shared" si="0"/>
        <v>265.14699999999999</v>
      </c>
      <c r="D15" s="10">
        <f t="shared" si="1"/>
        <v>62.230999999999995</v>
      </c>
      <c r="E15" s="13">
        <f t="shared" si="1"/>
        <v>0</v>
      </c>
      <c r="F15" s="10">
        <f t="shared" si="1"/>
        <v>97.280999999999992</v>
      </c>
      <c r="G15" s="10">
        <f t="shared" si="1"/>
        <v>105.63500000000001</v>
      </c>
      <c r="H15" s="11">
        <f>[11]!РаскрытиеПрочиеВН</f>
        <v>52.793999999999997</v>
      </c>
      <c r="I15" s="12">
        <f>[11]!РаскрытиеПрочиеСН1</f>
        <v>0</v>
      </c>
      <c r="J15" s="11">
        <f>[11]!РаскрытиеПрочиеСН2</f>
        <v>77.440999999999988</v>
      </c>
      <c r="K15" s="11">
        <f>[11]!РаскрытиеПрочиеНН</f>
        <v>47.222000000000001</v>
      </c>
      <c r="L15" s="11">
        <f>'[2]06'!$F$140</f>
        <v>9.4369999999999994</v>
      </c>
      <c r="M15" s="12">
        <f>[11]!РаскрытиеПотериСН1</f>
        <v>0</v>
      </c>
      <c r="N15" s="12">
        <f>[11]!РаскрытиеПотериСН2</f>
        <v>0</v>
      </c>
      <c r="O15" s="12">
        <f>[11]!РаскрытиеПотериНН</f>
        <v>0</v>
      </c>
      <c r="P15" s="12">
        <f>[11]!РаскрытиеНаселениеВН</f>
        <v>0</v>
      </c>
      <c r="Q15" s="12">
        <f>[11]!РаскрытиеНаселениеСН1</f>
        <v>0</v>
      </c>
      <c r="R15" s="11">
        <f>[11]!РаскрытиеНаселениеСН2</f>
        <v>19.84</v>
      </c>
      <c r="S15" s="11">
        <f>[11]!РаскрытиеНаселениеНН</f>
        <v>58.413000000000004</v>
      </c>
    </row>
    <row r="16" spans="1:19" s="30" customFormat="1" ht="25.5" customHeight="1">
      <c r="A16" s="15">
        <f t="shared" si="2"/>
        <v>11</v>
      </c>
      <c r="B16" s="23" t="s">
        <v>23</v>
      </c>
      <c r="C16" s="17">
        <f t="shared" si="0"/>
        <v>88.948999999999998</v>
      </c>
      <c r="D16" s="19">
        <f t="shared" si="1"/>
        <v>0</v>
      </c>
      <c r="E16" s="19">
        <f t="shared" si="1"/>
        <v>0</v>
      </c>
      <c r="F16" s="18">
        <f t="shared" si="1"/>
        <v>80.673999999999992</v>
      </c>
      <c r="G16" s="18">
        <f t="shared" si="1"/>
        <v>8.2750000000000004</v>
      </c>
      <c r="H16" s="21">
        <f>[12]!РаскрытиеПрочиеВН</f>
        <v>0</v>
      </c>
      <c r="I16" s="21">
        <f>[12]!РаскрытиеПрочиеСН1</f>
        <v>0</v>
      </c>
      <c r="J16" s="20">
        <f>[12]!РаскрытиеПрочиеСН2</f>
        <v>80.673999999999992</v>
      </c>
      <c r="K16" s="20">
        <f>[12]!РаскрытиеПрочиеНН</f>
        <v>8.2750000000000004</v>
      </c>
      <c r="L16" s="21">
        <f>[12]!РаскрытиеПотериВН</f>
        <v>0</v>
      </c>
      <c r="M16" s="21">
        <f>[12]!РаскрытиеПотериСН1</f>
        <v>0</v>
      </c>
      <c r="N16" s="21">
        <f>[12]!РаскрытиеПотериСН2</f>
        <v>0</v>
      </c>
      <c r="O16" s="21">
        <f>[12]!РаскрытиеПотериНН</f>
        <v>0</v>
      </c>
      <c r="P16" s="21">
        <f>[12]!РаскрытиеНаселениеВН</f>
        <v>0</v>
      </c>
      <c r="Q16" s="21">
        <f>[12]!РаскрытиеНаселениеСН1</f>
        <v>0</v>
      </c>
      <c r="R16" s="21">
        <f>[12]!РаскрытиеНаселениеСН2</f>
        <v>0</v>
      </c>
      <c r="S16" s="21">
        <f>[12]!РаскрытиеНаселениеНН</f>
        <v>0</v>
      </c>
    </row>
    <row r="17" spans="1:19" s="30" customFormat="1" ht="25.5" customHeight="1">
      <c r="A17" s="7">
        <f t="shared" si="2"/>
        <v>12</v>
      </c>
      <c r="B17" s="8" t="s">
        <v>24</v>
      </c>
      <c r="C17" s="9">
        <f t="shared" si="0"/>
        <v>2576.3219999999997</v>
      </c>
      <c r="D17" s="10">
        <f t="shared" si="1"/>
        <v>1361.915</v>
      </c>
      <c r="E17" s="13">
        <f t="shared" si="1"/>
        <v>0</v>
      </c>
      <c r="F17" s="10">
        <f t="shared" si="1"/>
        <v>1212.6870000000001</v>
      </c>
      <c r="G17" s="10">
        <f t="shared" si="1"/>
        <v>1.72</v>
      </c>
      <c r="H17" s="11">
        <f>[13]!РаскрытиеПрочиеВН</f>
        <v>1301.4870000000001</v>
      </c>
      <c r="I17" s="12">
        <f>[13]!РаскрытиеПрочиеСН1</f>
        <v>0</v>
      </c>
      <c r="J17" s="11">
        <f>[13]!РаскрытиеПрочиеСН2</f>
        <v>1212.6870000000001</v>
      </c>
      <c r="K17" s="11">
        <f>[13]!РаскрытиеПрочиеНН</f>
        <v>0</v>
      </c>
      <c r="L17" s="11">
        <f>'[2]06'!$F$182</f>
        <v>60.427999999999997</v>
      </c>
      <c r="M17" s="12">
        <f>[13]!РаскрытиеПотериСН1</f>
        <v>0</v>
      </c>
      <c r="N17" s="12">
        <f>[13]!РаскрытиеПотериСН2</f>
        <v>0</v>
      </c>
      <c r="O17" s="12">
        <f>[13]!РаскрытиеПотериНН</f>
        <v>0</v>
      </c>
      <c r="P17" s="12">
        <f>[13]!РаскрытиеНаселениеВН</f>
        <v>0</v>
      </c>
      <c r="Q17" s="12">
        <f>[13]!РаскрытиеНаселениеСН1</f>
        <v>0</v>
      </c>
      <c r="R17" s="11">
        <f>[13]!РаскрытиеНаселениеСН2</f>
        <v>0</v>
      </c>
      <c r="S17" s="11">
        <f>[13]!РаскрытиеНаселениеНН</f>
        <v>1.72</v>
      </c>
    </row>
    <row r="18" spans="1:19" s="30" customFormat="1" ht="25.5" customHeight="1">
      <c r="A18" s="7">
        <f t="shared" si="2"/>
        <v>13</v>
      </c>
      <c r="B18" s="8" t="s">
        <v>25</v>
      </c>
      <c r="C18" s="9">
        <f t="shared" si="0"/>
        <v>2536.7569999999996</v>
      </c>
      <c r="D18" s="10">
        <f t="shared" si="1"/>
        <v>0</v>
      </c>
      <c r="E18" s="10">
        <f t="shared" si="1"/>
        <v>2077.9059999999999</v>
      </c>
      <c r="F18" s="10">
        <f t="shared" si="1"/>
        <v>442.47399999999988</v>
      </c>
      <c r="G18" s="10">
        <f t="shared" si="1"/>
        <v>16.376999999999999</v>
      </c>
      <c r="H18" s="11">
        <f>[14]!РаскрытиеПрочиеВН</f>
        <v>0</v>
      </c>
      <c r="I18" s="11">
        <f>[14]!РаскрытиеПрочиеСН1</f>
        <v>2042.348</v>
      </c>
      <c r="J18" s="11">
        <f>[14]!РаскрытиеПрочиеСН2</f>
        <v>442.47399999999988</v>
      </c>
      <c r="K18" s="11">
        <f>[14]!РаскрытиеПрочиеНН</f>
        <v>14.229999999999999</v>
      </c>
      <c r="L18" s="12">
        <f>[14]!РаскрытиеПотериВН</f>
        <v>0</v>
      </c>
      <c r="M18" s="11">
        <f>'[2]06'!$F$157</f>
        <v>35.558</v>
      </c>
      <c r="N18" s="12">
        <f>[14]!РаскрытиеПотериСН2</f>
        <v>0</v>
      </c>
      <c r="O18" s="12">
        <f>[14]!РаскрытиеПотериНН</f>
        <v>0</v>
      </c>
      <c r="P18" s="12">
        <f>[14]!РаскрытиеНаселениеВН</f>
        <v>0</v>
      </c>
      <c r="Q18" s="12">
        <f>[14]!РаскрытиеНаселениеСН1</f>
        <v>0</v>
      </c>
      <c r="R18" s="11">
        <f>[14]!РаскрытиеНаселениеСН2</f>
        <v>0</v>
      </c>
      <c r="S18" s="11">
        <f>[14]!РаскрытиеНаселениеНН</f>
        <v>2.1470000000000002</v>
      </c>
    </row>
    <row r="19" spans="1:19" s="30" customFormat="1" ht="25.5" customHeight="1">
      <c r="A19" s="24">
        <f t="shared" si="2"/>
        <v>14</v>
      </c>
      <c r="B19" s="25" t="s">
        <v>26</v>
      </c>
      <c r="C19" s="26">
        <f>SUM(D19:G19)</f>
        <v>7117.6829999999991</v>
      </c>
      <c r="D19" s="27">
        <f>SUM(H19+L19+P19)+0.001</f>
        <v>4546.9639999999999</v>
      </c>
      <c r="E19" s="27">
        <f>SUM(I19+M19+Q19)</f>
        <v>0</v>
      </c>
      <c r="F19" s="27">
        <f t="shared" si="1"/>
        <v>263.26600000000002</v>
      </c>
      <c r="G19" s="27">
        <f t="shared" si="1"/>
        <v>2307.453</v>
      </c>
      <c r="H19" s="28">
        <f>[15]!РаскрытиеПрочиеВН</f>
        <v>4522.5749999999998</v>
      </c>
      <c r="I19" s="28">
        <f>[15]!РаскрытиеПрочиеСН1</f>
        <v>0</v>
      </c>
      <c r="J19" s="28">
        <f>[15]!РаскрытиеПрочиеСН2</f>
        <v>263.26600000000002</v>
      </c>
      <c r="K19" s="28">
        <f>[15]!РаскрытиеПрочиеНН</f>
        <v>45.012000000000171</v>
      </c>
      <c r="L19" s="14">
        <f>[15]!РаскрытиеПотериВН</f>
        <v>24.388000000000002</v>
      </c>
      <c r="M19" s="29">
        <f>[15]!РаскрытиеПотериСН1</f>
        <v>0</v>
      </c>
      <c r="N19" s="29">
        <f>[15]!РаскрытиеПотериСН2</f>
        <v>0</v>
      </c>
      <c r="O19" s="29">
        <f>[15]!РаскрытиеПотериНН</f>
        <v>0</v>
      </c>
      <c r="P19" s="29">
        <f>[15]!РаскрытиеНаселениеВН</f>
        <v>0</v>
      </c>
      <c r="Q19" s="29">
        <f>[15]!РаскрытиеНаселениеСН1</f>
        <v>0</v>
      </c>
      <c r="R19" s="29">
        <f>[15]!РаскрытиеНаселениеСН2</f>
        <v>0</v>
      </c>
      <c r="S19" s="14">
        <f>[15]!РаскрытиеНаселениеНН</f>
        <v>2262.4409999999998</v>
      </c>
    </row>
    <row r="20" spans="1:19" s="30" customFormat="1" ht="25.5" customHeight="1">
      <c r="A20" s="7">
        <f t="shared" si="2"/>
        <v>15</v>
      </c>
      <c r="B20" s="22" t="s">
        <v>27</v>
      </c>
      <c r="C20" s="9">
        <f t="shared" si="0"/>
        <v>2953.8810000000021</v>
      </c>
      <c r="D20" s="10">
        <f t="shared" si="1"/>
        <v>123.199</v>
      </c>
      <c r="E20" s="13">
        <f t="shared" si="1"/>
        <v>0</v>
      </c>
      <c r="F20" s="10">
        <f t="shared" si="1"/>
        <v>557.55600000000004</v>
      </c>
      <c r="G20" s="10">
        <f t="shared" si="1"/>
        <v>2273.126000000002</v>
      </c>
      <c r="H20" s="11">
        <f>[16]!РаскрытиеПрочиеВН</f>
        <v>0</v>
      </c>
      <c r="I20" s="12">
        <f>[16]!РаскрытиеПрочиеСН1</f>
        <v>0</v>
      </c>
      <c r="J20" s="11">
        <f>[16]!РаскрытиеПрочиеСН2</f>
        <v>557.55600000000004</v>
      </c>
      <c r="K20" s="11">
        <f>[16]!РаскрытиеПрочиеНН</f>
        <v>519.33500000000163</v>
      </c>
      <c r="L20" s="11">
        <f>'[2]06'!$F$77</f>
        <v>123.199</v>
      </c>
      <c r="M20" s="12">
        <f>[16]!РаскрытиеПотериСН1</f>
        <v>0</v>
      </c>
      <c r="N20" s="12">
        <f>[16]!РаскрытиеПотериСН2</f>
        <v>0</v>
      </c>
      <c r="O20" s="12">
        <f>[16]!РаскрытиеПотериНН</f>
        <v>0</v>
      </c>
      <c r="P20" s="12">
        <f>'[16]Информация для отчётов'!$D$5</f>
        <v>0</v>
      </c>
      <c r="Q20" s="12">
        <f>[16]!РаскрытиеНаселениеСН1</f>
        <v>0</v>
      </c>
      <c r="R20" s="12">
        <f>[16]!РаскрытиеНаселениеСН2</f>
        <v>0</v>
      </c>
      <c r="S20" s="11">
        <f>'[16]Информация для отчётов'!$G$5</f>
        <v>1753.7910000000004</v>
      </c>
    </row>
    <row r="21" spans="1:19" s="30" customFormat="1" ht="25.5" customHeight="1">
      <c r="A21" s="7">
        <f t="shared" si="2"/>
        <v>16</v>
      </c>
      <c r="B21" s="22" t="s">
        <v>28</v>
      </c>
      <c r="C21" s="9">
        <f t="shared" si="0"/>
        <v>291.38399999999996</v>
      </c>
      <c r="D21" s="10">
        <f t="shared" si="1"/>
        <v>282.86399999999998</v>
      </c>
      <c r="E21" s="13">
        <f t="shared" si="1"/>
        <v>0</v>
      </c>
      <c r="F21" s="10">
        <f>SUM(J21+N21+R21)</f>
        <v>8.52</v>
      </c>
      <c r="G21" s="13">
        <f t="shared" si="1"/>
        <v>0</v>
      </c>
      <c r="H21" s="11">
        <f>[17]!РаскрытиеПрочиеВН</f>
        <v>282.68599999999998</v>
      </c>
      <c r="I21" s="12">
        <f>[17]!РаскрытиеПрочиеСН1</f>
        <v>0</v>
      </c>
      <c r="J21" s="11">
        <f>[17]!РаскрытиеПрочиеСН2</f>
        <v>8.52</v>
      </c>
      <c r="K21" s="12">
        <f>[17]!РаскрытиеПрочиеНН</f>
        <v>0</v>
      </c>
      <c r="L21" s="11">
        <f>'[2]06'!$F$119</f>
        <v>0.17799999999999999</v>
      </c>
      <c r="M21" s="12">
        <f>[17]!РаскрытиеПотериСН1</f>
        <v>0</v>
      </c>
      <c r="N21" s="12">
        <f>[17]!РаскрытиеПотериСН2</f>
        <v>0</v>
      </c>
      <c r="O21" s="12">
        <f>[17]!РаскрытиеПотериНН</f>
        <v>0</v>
      </c>
      <c r="P21" s="12">
        <f>[17]!РаскрытиеНаселениеВН</f>
        <v>0</v>
      </c>
      <c r="Q21" s="12">
        <f>[17]!РаскрытиеНаселениеСН1</f>
        <v>0</v>
      </c>
      <c r="R21" s="12">
        <f>[17]!РаскрытиеНаселениеСН2</f>
        <v>0</v>
      </c>
      <c r="S21" s="12">
        <f>[17]!РаскрытиеНаселениеНН</f>
        <v>0</v>
      </c>
    </row>
    <row r="22" spans="1:19" s="30" customFormat="1" ht="25.5" customHeight="1">
      <c r="A22" s="7">
        <f t="shared" si="2"/>
        <v>17</v>
      </c>
      <c r="B22" s="22" t="s">
        <v>29</v>
      </c>
      <c r="C22" s="9">
        <f t="shared" si="0"/>
        <v>2302.3670000000002</v>
      </c>
      <c r="D22" s="10">
        <f t="shared" si="1"/>
        <v>2297.1580000000004</v>
      </c>
      <c r="E22" s="13">
        <f t="shared" si="1"/>
        <v>0</v>
      </c>
      <c r="F22" s="10">
        <f t="shared" si="1"/>
        <v>0</v>
      </c>
      <c r="G22" s="10">
        <f t="shared" si="1"/>
        <v>5.2089999999999996</v>
      </c>
      <c r="H22" s="11">
        <f>[18]!РаскрытиеПрочиеВН</f>
        <v>1959.6810000000003</v>
      </c>
      <c r="I22" s="12">
        <f>[18]!РаскрытиеПрочиеСН1</f>
        <v>0</v>
      </c>
      <c r="J22" s="11">
        <f>[18]!РаскрытиеПрочиеСН2</f>
        <v>0</v>
      </c>
      <c r="K22" s="11">
        <f>[18]!РаскрытиеПрочиеНН</f>
        <v>5.2089999999999996</v>
      </c>
      <c r="L22" s="11">
        <f>'[2]06'!$F$44</f>
        <v>337.47699999999998</v>
      </c>
      <c r="M22" s="12">
        <f>[18]!РаскрытиеПотериСН1</f>
        <v>0</v>
      </c>
      <c r="N22" s="12">
        <f>[18]!РаскрытиеПотериСН2</f>
        <v>0</v>
      </c>
      <c r="O22" s="12">
        <f>[18]!РаскрытиеПотериНН</f>
        <v>0</v>
      </c>
      <c r="P22" s="12">
        <f>[18]!РаскрытиеНаселениеВН</f>
        <v>0</v>
      </c>
      <c r="Q22" s="12">
        <f>[18]!РаскрытиеНаселениеСН1</f>
        <v>0</v>
      </c>
      <c r="R22" s="12">
        <f>[18]!РаскрытиеНаселениеСН2</f>
        <v>0</v>
      </c>
      <c r="S22" s="12">
        <f>[18]!РаскрытиеНаселениеНН</f>
        <v>0</v>
      </c>
    </row>
    <row r="23" spans="1:19" s="30" customFormat="1" ht="25.5" customHeight="1">
      <c r="A23" s="7">
        <f t="shared" si="2"/>
        <v>18</v>
      </c>
      <c r="B23" s="22" t="s">
        <v>30</v>
      </c>
      <c r="C23" s="9">
        <f t="shared" si="0"/>
        <v>0</v>
      </c>
      <c r="D23" s="13">
        <f t="shared" si="1"/>
        <v>0</v>
      </c>
      <c r="E23" s="13">
        <f t="shared" si="1"/>
        <v>0</v>
      </c>
      <c r="F23" s="10">
        <f t="shared" si="1"/>
        <v>0</v>
      </c>
      <c r="G23" s="10">
        <f t="shared" si="1"/>
        <v>0</v>
      </c>
      <c r="H23" s="12">
        <f>-[19]проверка!H61-[19]проверка!M61</f>
        <v>0</v>
      </c>
      <c r="I23" s="12">
        <f>-[19]проверка!I61-[19]проверка!N61</f>
        <v>0</v>
      </c>
      <c r="J23" s="11">
        <f>-[19]проверка!J61-[19]проверка!O61</f>
        <v>0</v>
      </c>
      <c r="K23" s="12">
        <f>-[19]проверка!K61-[19]проверка!P61</f>
        <v>0</v>
      </c>
      <c r="L23" s="12">
        <v>0</v>
      </c>
      <c r="M23" s="12">
        <v>0</v>
      </c>
      <c r="N23" s="12">
        <v>0</v>
      </c>
      <c r="O23" s="12">
        <v>0</v>
      </c>
      <c r="P23" s="12">
        <f>-[19]проверка!W61</f>
        <v>0</v>
      </c>
      <c r="Q23" s="12">
        <f>-[19]проверка!X61</f>
        <v>0</v>
      </c>
      <c r="R23" s="11">
        <f>-[19]проверка!Y61</f>
        <v>0</v>
      </c>
      <c r="S23" s="11">
        <f>-[19]проверка!Z61</f>
        <v>0</v>
      </c>
    </row>
    <row r="24" spans="1:19" s="30" customFormat="1" ht="25.5" customHeight="1">
      <c r="A24" s="15">
        <f t="shared" si="2"/>
        <v>19</v>
      </c>
      <c r="B24" s="23" t="s">
        <v>31</v>
      </c>
      <c r="C24" s="17">
        <f t="shared" si="0"/>
        <v>12.032</v>
      </c>
      <c r="D24" s="18">
        <f t="shared" si="1"/>
        <v>12.032</v>
      </c>
      <c r="E24" s="19">
        <f t="shared" si="1"/>
        <v>0</v>
      </c>
      <c r="F24" s="19">
        <f t="shared" si="1"/>
        <v>0</v>
      </c>
      <c r="G24" s="19">
        <f t="shared" si="1"/>
        <v>0</v>
      </c>
      <c r="H24" s="20">
        <f>[20]!РаскрытиеПрочиеВН</f>
        <v>12.032</v>
      </c>
      <c r="I24" s="21">
        <f>[20]!РаскрытиеПрочиеСН1</f>
        <v>0</v>
      </c>
      <c r="J24" s="21">
        <f>[20]!РаскрытиеПрочиеСН2</f>
        <v>0</v>
      </c>
      <c r="K24" s="21">
        <f>[20]!РаскрытиеПрочиеНН</f>
        <v>0</v>
      </c>
      <c r="L24" s="21">
        <f>[20]!РаскрытиеПотериВН</f>
        <v>0</v>
      </c>
      <c r="M24" s="21">
        <f>[20]!РаскрытиеПотериСН1</f>
        <v>0</v>
      </c>
      <c r="N24" s="21">
        <f>[20]!РаскрытиеПотериСН2</f>
        <v>0</v>
      </c>
      <c r="O24" s="21">
        <f>[20]!РаскрытиеПотериНН</f>
        <v>0</v>
      </c>
      <c r="P24" s="21">
        <f>'[20]Информация для отчётов'!$D$5</f>
        <v>0</v>
      </c>
      <c r="Q24" s="21">
        <f>[20]!РаскрытиеНаселениеСН1</f>
        <v>0</v>
      </c>
      <c r="R24" s="21">
        <f>[20]!РаскрытиеНаселениеСН2</f>
        <v>0</v>
      </c>
      <c r="S24" s="21">
        <f>[20]!РаскрытиеНаселениеНН</f>
        <v>0</v>
      </c>
    </row>
    <row r="25" spans="1:19" s="30" customFormat="1" ht="25.5" customHeight="1">
      <c r="A25" s="7">
        <f t="shared" si="2"/>
        <v>20</v>
      </c>
      <c r="B25" s="22" t="s">
        <v>32</v>
      </c>
      <c r="C25" s="9">
        <f t="shared" si="0"/>
        <v>750.75899999999979</v>
      </c>
      <c r="D25" s="13">
        <f t="shared" si="1"/>
        <v>0</v>
      </c>
      <c r="E25" s="10">
        <f>SUM(I25+M25+Q25)</f>
        <v>0.30499999999999999</v>
      </c>
      <c r="F25" s="10">
        <f t="shared" si="1"/>
        <v>326.1339999999999</v>
      </c>
      <c r="G25" s="10">
        <f t="shared" si="1"/>
        <v>424.31999999999988</v>
      </c>
      <c r="H25" s="12">
        <f>[21]!РаскрытиеПрочиеВН</f>
        <v>0</v>
      </c>
      <c r="I25" s="12">
        <f>[21]!РаскрытиеПрочиеСН1</f>
        <v>0</v>
      </c>
      <c r="J25" s="11">
        <f>[21]!РаскрытиеПрочиеСН2</f>
        <v>122.86199999999991</v>
      </c>
      <c r="K25" s="11">
        <f>[21]!РаскрытиеПрочиеНН</f>
        <v>174.71699999999987</v>
      </c>
      <c r="L25" s="12">
        <f>[21]!РаскрытиеПотериВН</f>
        <v>0</v>
      </c>
      <c r="M25" s="11">
        <f>'[2]06'!$F$70</f>
        <v>0.30499999999999999</v>
      </c>
      <c r="N25" s="12">
        <f>[21]!РаскрытиеПотериСН2</f>
        <v>0</v>
      </c>
      <c r="O25" s="12">
        <f>[21]!РаскрытиеПотериНН</f>
        <v>0</v>
      </c>
      <c r="P25" s="12">
        <f>[21]!РаскрытиеНаселениеВН</f>
        <v>0</v>
      </c>
      <c r="Q25" s="12">
        <f>[21]!РаскрытиеНаселениеСН1</f>
        <v>0</v>
      </c>
      <c r="R25" s="11">
        <f>[21]!РаскрытиеНаселениеСН2</f>
        <v>203.27199999999999</v>
      </c>
      <c r="S25" s="11">
        <f>[21]!РаскрытиеНаселениеНН</f>
        <v>249.60300000000001</v>
      </c>
    </row>
    <row r="26" spans="1:19" s="30" customFormat="1" ht="25.5" customHeight="1">
      <c r="A26" s="15">
        <f t="shared" si="2"/>
        <v>21</v>
      </c>
      <c r="B26" s="23" t="s">
        <v>33</v>
      </c>
      <c r="C26" s="17">
        <f t="shared" si="0"/>
        <v>433.35899999999992</v>
      </c>
      <c r="D26" s="18">
        <f t="shared" si="1"/>
        <v>308.39699999999999</v>
      </c>
      <c r="E26" s="19">
        <f t="shared" si="1"/>
        <v>0</v>
      </c>
      <c r="F26" s="18">
        <f t="shared" si="1"/>
        <v>91.542999999999978</v>
      </c>
      <c r="G26" s="18">
        <f t="shared" si="1"/>
        <v>33.418999999999997</v>
      </c>
      <c r="H26" s="20">
        <f>[22]!РаскрытиеПрочиеВН</f>
        <v>308.39699999999999</v>
      </c>
      <c r="I26" s="21">
        <f>[22]!РаскрытиеПрочиеСН1</f>
        <v>0</v>
      </c>
      <c r="J26" s="20">
        <f>[22]!РаскрытиеПрочиеСН2</f>
        <v>91.542999999999978</v>
      </c>
      <c r="K26" s="20">
        <f>[22]!РаскрытиеПрочиеНН</f>
        <v>33.418999999999997</v>
      </c>
      <c r="L26" s="21">
        <f>[22]!РаскрытиеПотериВН</f>
        <v>0</v>
      </c>
      <c r="M26" s="21">
        <f>[22]!РаскрытиеПотериСН1</f>
        <v>0</v>
      </c>
      <c r="N26" s="21">
        <f>[22]!РаскрытиеПотериСН2</f>
        <v>0</v>
      </c>
      <c r="O26" s="21">
        <f>[22]!РаскрытиеПотериНН</f>
        <v>0</v>
      </c>
      <c r="P26" s="21">
        <f>[22]!РаскрытиеНаселениеВН</f>
        <v>0</v>
      </c>
      <c r="Q26" s="21">
        <f>[22]!РаскрытиеНаселениеСН1</f>
        <v>0</v>
      </c>
      <c r="R26" s="21">
        <f>[22]!РаскрытиеНаселениеСН2</f>
        <v>0</v>
      </c>
      <c r="S26" s="21">
        <f>[22]!РаскрытиеНаселениеНН</f>
        <v>0</v>
      </c>
    </row>
    <row r="27" spans="1:19" s="30" customFormat="1" ht="25.5" customHeight="1">
      <c r="A27" s="15">
        <f t="shared" si="2"/>
        <v>22</v>
      </c>
      <c r="B27" s="23" t="s">
        <v>34</v>
      </c>
      <c r="C27" s="17">
        <f t="shared" si="0"/>
        <v>631.30636604653489</v>
      </c>
      <c r="D27" s="18">
        <f>SUM(H27+L27+P27)</f>
        <v>412.94</v>
      </c>
      <c r="E27" s="18">
        <f>SUM(I27+M27+Q27)</f>
        <v>0</v>
      </c>
      <c r="F27" s="18">
        <f>SUM(J27+N27+R27)</f>
        <v>169.26799999999997</v>
      </c>
      <c r="G27" s="18">
        <f>SUM(K27+O27+S27)</f>
        <v>49.098366046534906</v>
      </c>
      <c r="H27" s="20">
        <f>[23]!РаскрытиеПрочиеВН</f>
        <v>412.94</v>
      </c>
      <c r="I27" s="20">
        <f>[23]!РаскрытиеПрочиеСН1</f>
        <v>0</v>
      </c>
      <c r="J27" s="20">
        <f>[23]!РаскрытиеПрочиеСН2</f>
        <v>151.70399999999998</v>
      </c>
      <c r="K27" s="20">
        <f>[23]!РаскрытиеПрочиеНН</f>
        <v>8.8320000000000078</v>
      </c>
      <c r="L27" s="21">
        <v>0</v>
      </c>
      <c r="M27" s="21">
        <v>0</v>
      </c>
      <c r="N27" s="21">
        <v>0</v>
      </c>
      <c r="O27" s="21">
        <v>0</v>
      </c>
      <c r="P27" s="21">
        <f>[23]!РаскрытиеНаселениеВН</f>
        <v>0</v>
      </c>
      <c r="Q27" s="21">
        <f>[23]!РаскрытиеНаселениеСН1</f>
        <v>0</v>
      </c>
      <c r="R27" s="20">
        <f>[23]!РаскрытиеНаселениеСН2</f>
        <v>17.564</v>
      </c>
      <c r="S27" s="20">
        <f>[23]!РаскрытиеНаселениеНН</f>
        <v>40.266366046534898</v>
      </c>
    </row>
    <row r="28" spans="1:19" s="30" customFormat="1" ht="25.5" customHeight="1">
      <c r="A28" s="15">
        <f t="shared" si="2"/>
        <v>23</v>
      </c>
      <c r="B28" s="31" t="s">
        <v>35</v>
      </c>
      <c r="C28" s="26">
        <f>SUM(D28:G28)</f>
        <v>707.35200000000009</v>
      </c>
      <c r="D28" s="27">
        <f t="shared" ref="D28:G41" si="3">SUM(H28+L28+P28)</f>
        <v>707.18600000000004</v>
      </c>
      <c r="E28" s="32">
        <f t="shared" si="3"/>
        <v>0</v>
      </c>
      <c r="F28" s="27">
        <f t="shared" ref="F28:F33" si="4">SUM(J28+N28+R28)</f>
        <v>0</v>
      </c>
      <c r="G28" s="27">
        <f t="shared" ref="G28:G33" si="5">SUM(K28+O28+S28)</f>
        <v>0.16600000000000001</v>
      </c>
      <c r="H28" s="28">
        <f>[24]!РаскрытиеПрочиеВН</f>
        <v>707.18600000000004</v>
      </c>
      <c r="I28" s="29">
        <f>[24]!РаскрытиеПрочиеСН1</f>
        <v>0</v>
      </c>
      <c r="J28" s="28">
        <f>[24]!РаскрытиеПрочиеСН2</f>
        <v>0</v>
      </c>
      <c r="K28" s="28">
        <f>[24]!РаскрытиеПрочиеНН</f>
        <v>0.16600000000000001</v>
      </c>
      <c r="L28" s="29">
        <f>[24]!РаскрытиеПотериВН</f>
        <v>0</v>
      </c>
      <c r="M28" s="29">
        <f>[24]!РаскрытиеПотериСН1</f>
        <v>0</v>
      </c>
      <c r="N28" s="29">
        <f>[24]!РаскрытиеПотериСН2</f>
        <v>0</v>
      </c>
      <c r="O28" s="29">
        <f>[24]!РаскрытиеПотериНН</f>
        <v>0</v>
      </c>
      <c r="P28" s="29">
        <f>[24]!РаскрытиеНаселениеВН</f>
        <v>0</v>
      </c>
      <c r="Q28" s="29">
        <f>[24]!РаскрытиеНаселениеСН1</f>
        <v>0</v>
      </c>
      <c r="R28" s="29">
        <f>[24]!РаскрытиеНаселениеСН2</f>
        <v>0</v>
      </c>
      <c r="S28" s="29">
        <f>[24]!РаскрытиеНаселениеНН</f>
        <v>0</v>
      </c>
    </row>
    <row r="29" spans="1:19" s="30" customFormat="1" ht="25.5" customHeight="1">
      <c r="A29" s="7">
        <f t="shared" si="2"/>
        <v>24</v>
      </c>
      <c r="B29" s="22" t="str">
        <f>[19]проверка!A66</f>
        <v>ОАО "ССП "Уралсибгидромеханизация"</v>
      </c>
      <c r="C29" s="33">
        <f t="shared" si="0"/>
        <v>72.078000000000003</v>
      </c>
      <c r="D29" s="7">
        <f t="shared" si="3"/>
        <v>0</v>
      </c>
      <c r="E29" s="7">
        <f t="shared" si="3"/>
        <v>0</v>
      </c>
      <c r="F29" s="7">
        <f t="shared" si="4"/>
        <v>72.078000000000003</v>
      </c>
      <c r="G29" s="7">
        <f t="shared" si="5"/>
        <v>0</v>
      </c>
      <c r="H29" s="7">
        <f>[25]!РаскрытиеПрочиеВН</f>
        <v>0</v>
      </c>
      <c r="I29" s="7">
        <f>[25]!РаскрытиеПрочиеСН1</f>
        <v>0</v>
      </c>
      <c r="J29" s="7">
        <f>[25]!РаскрытиеПрочиеСН2</f>
        <v>70.316000000000003</v>
      </c>
      <c r="K29" s="7">
        <f>[25]!РаскрытиеПрочиеНН</f>
        <v>0</v>
      </c>
      <c r="L29" s="7">
        <f>[25]!РаскрытиеПотериВН</f>
        <v>0</v>
      </c>
      <c r="M29" s="7">
        <f>[25]!РаскрытиеПотериСН1</f>
        <v>0</v>
      </c>
      <c r="N29" s="7">
        <f>'[2]06'!$F$91</f>
        <v>1.762</v>
      </c>
      <c r="O29" s="7">
        <f>[25]!РаскрытиеПотериНН</f>
        <v>0</v>
      </c>
      <c r="P29" s="7">
        <f>[25]!РаскрытиеНаселениеВН</f>
        <v>0</v>
      </c>
      <c r="Q29" s="7">
        <f>[25]!РаскрытиеНаселениеСН1</f>
        <v>0</v>
      </c>
      <c r="R29" s="7">
        <f>[25]!РаскрытиеНаселениеСН2</f>
        <v>0</v>
      </c>
      <c r="S29" s="7">
        <f>[25]!РаскрытиеНаселениеНН</f>
        <v>0</v>
      </c>
    </row>
    <row r="30" spans="1:19" s="30" customFormat="1" ht="25.5" customHeight="1">
      <c r="A30" s="15">
        <f t="shared" si="2"/>
        <v>25</v>
      </c>
      <c r="B30" s="31" t="s">
        <v>36</v>
      </c>
      <c r="C30" s="26">
        <f t="shared" si="0"/>
        <v>69.949000000000012</v>
      </c>
      <c r="D30" s="27">
        <f t="shared" si="3"/>
        <v>19.479000000000003</v>
      </c>
      <c r="E30" s="32">
        <f t="shared" si="3"/>
        <v>0</v>
      </c>
      <c r="F30" s="27">
        <f t="shared" si="4"/>
        <v>49.776000000000003</v>
      </c>
      <c r="G30" s="27">
        <f t="shared" si="5"/>
        <v>0.69399999999999995</v>
      </c>
      <c r="H30" s="28">
        <f>[26]!РаскрытиеПрочиеВН</f>
        <v>19.479000000000003</v>
      </c>
      <c r="I30" s="28">
        <f>[26]!РаскрытиеПрочиеСН1</f>
        <v>0</v>
      </c>
      <c r="J30" s="28">
        <f>[26]!РаскрытиеПрочиеСН2</f>
        <v>45.176000000000002</v>
      </c>
      <c r="K30" s="28">
        <f>[26]!РаскрытиеПрочиеНН</f>
        <v>0.69399999999999995</v>
      </c>
      <c r="L30" s="29">
        <f>[26]!РаскрытиеПотериВН</f>
        <v>0</v>
      </c>
      <c r="M30" s="29">
        <f>[26]!РаскрытиеПотериСН1</f>
        <v>0</v>
      </c>
      <c r="N30" s="29">
        <f>[26]!РаскрытиеПотериСН2</f>
        <v>0</v>
      </c>
      <c r="O30" s="29">
        <f>[26]!РаскрытиеПотериНН</f>
        <v>0</v>
      </c>
      <c r="P30" s="29">
        <f>[26]!РаскрытиеНаселениеВН</f>
        <v>0</v>
      </c>
      <c r="Q30" s="29">
        <f>[26]!РаскрытиеНаселениеСН1</f>
        <v>0</v>
      </c>
      <c r="R30" s="28">
        <f>[26]!РаскрытиеНаселениеСН2</f>
        <v>4.5999999999999996</v>
      </c>
      <c r="S30" s="29">
        <f>[26]!РаскрытиеНаселениеНН</f>
        <v>0</v>
      </c>
    </row>
    <row r="31" spans="1:19" s="30" customFormat="1" ht="25.5" customHeight="1">
      <c r="A31" s="7">
        <f t="shared" si="2"/>
        <v>26</v>
      </c>
      <c r="B31" s="22" t="s">
        <v>37</v>
      </c>
      <c r="C31" s="33">
        <f t="shared" si="0"/>
        <v>181.43799999999999</v>
      </c>
      <c r="D31" s="7">
        <f t="shared" si="3"/>
        <v>42.359000000000002</v>
      </c>
      <c r="E31" s="7">
        <f t="shared" si="3"/>
        <v>0</v>
      </c>
      <c r="F31" s="7">
        <f t="shared" si="4"/>
        <v>93.59899999999999</v>
      </c>
      <c r="G31" s="7">
        <f t="shared" si="5"/>
        <v>45.48</v>
      </c>
      <c r="H31" s="7">
        <f>[27]!РаскрытиеПрочиеВН</f>
        <v>32.25</v>
      </c>
      <c r="I31" s="7">
        <f>[27]!РаскрытиеПрочиеСН1</f>
        <v>0</v>
      </c>
      <c r="J31" s="7">
        <f>[27]!РаскрытиеПрочиеСН2</f>
        <v>93.59899999999999</v>
      </c>
      <c r="K31" s="7">
        <f>[27]!РаскрытиеПрочиеНН</f>
        <v>45.48</v>
      </c>
      <c r="L31" s="7">
        <f>'[2]06'!$F$35</f>
        <v>10.109</v>
      </c>
      <c r="M31" s="7">
        <f>[27]!РаскрытиеПотериСН1</f>
        <v>0</v>
      </c>
      <c r="N31" s="7">
        <f>[27]!РаскрытиеПотериСН2</f>
        <v>0</v>
      </c>
      <c r="O31" s="7">
        <f>[27]!РаскрытиеПотериНН</f>
        <v>0</v>
      </c>
      <c r="P31" s="7">
        <f>[27]!РаскрытиеНаселениеВН</f>
        <v>0</v>
      </c>
      <c r="Q31" s="7">
        <f>[27]!РаскрытиеНаселениеСН1</f>
        <v>0</v>
      </c>
      <c r="R31" s="7">
        <f>[27]!РаскрытиеНаселениеСН2</f>
        <v>0</v>
      </c>
      <c r="S31" s="7">
        <f>[27]!РаскрытиеНаселениеНН</f>
        <v>0</v>
      </c>
    </row>
    <row r="32" spans="1:19" s="30" customFormat="1" ht="25.5" customHeight="1">
      <c r="A32" s="7">
        <f t="shared" si="2"/>
        <v>27</v>
      </c>
      <c r="B32" s="22" t="str">
        <f>[19]проверка!A51</f>
        <v>ООО "ЭФЕС"</v>
      </c>
      <c r="C32" s="33">
        <f>SUM(D32:G32)</f>
        <v>275.03899999999999</v>
      </c>
      <c r="D32" s="7">
        <f t="shared" si="3"/>
        <v>0</v>
      </c>
      <c r="E32" s="7">
        <f t="shared" si="3"/>
        <v>0</v>
      </c>
      <c r="F32" s="7">
        <f>SUM(J32+N32+R32)</f>
        <v>99.105999999999995</v>
      </c>
      <c r="G32" s="7">
        <f t="shared" si="5"/>
        <v>175.93300000000002</v>
      </c>
      <c r="H32" s="7">
        <f>[28]!РаскрытиеПрочиеВН</f>
        <v>0</v>
      </c>
      <c r="I32" s="7">
        <f>[28]!РаскрытиеПрочиеСН1</f>
        <v>0</v>
      </c>
      <c r="J32" s="7">
        <f>[28]!РаскрытиеПрочиеСН2</f>
        <v>21.459999999999987</v>
      </c>
      <c r="K32" s="7">
        <f>[28]!РаскрытиеПрочиеНН</f>
        <v>15.974000000000018</v>
      </c>
      <c r="L32" s="7">
        <f>[28]!РаскрытиеПотериВН</f>
        <v>0</v>
      </c>
      <c r="M32" s="7">
        <f>[28]!РаскрытиеПотериСН1</f>
        <v>0</v>
      </c>
      <c r="N32" s="7">
        <f>'[2]06'!$F$28</f>
        <v>23.798999999999999</v>
      </c>
      <c r="O32" s="7">
        <f>[28]!РаскрытиеПотериНН</f>
        <v>0</v>
      </c>
      <c r="P32" s="7">
        <f>'[28]Информация для отчётов'!$D$5</f>
        <v>0</v>
      </c>
      <c r="Q32" s="7">
        <f>[28]!РаскрытиеНаселениеСН1</f>
        <v>0</v>
      </c>
      <c r="R32" s="7">
        <f>[28]!РаскрытиеНаселениеСН2</f>
        <v>53.847000000000001</v>
      </c>
      <c r="S32" s="7">
        <f>'[28]Информация для отчётов'!$G$5</f>
        <v>159.959</v>
      </c>
    </row>
    <row r="33" spans="1:21" s="30" customFormat="1" ht="25.5" customHeight="1">
      <c r="A33" s="7">
        <f t="shared" si="2"/>
        <v>28</v>
      </c>
      <c r="B33" s="22" t="s">
        <v>38</v>
      </c>
      <c r="C33" s="33">
        <f t="shared" si="0"/>
        <v>422.98399999999992</v>
      </c>
      <c r="D33" s="7">
        <f t="shared" si="3"/>
        <v>0</v>
      </c>
      <c r="E33" s="7">
        <f t="shared" si="3"/>
        <v>0</v>
      </c>
      <c r="F33" s="7">
        <f t="shared" si="4"/>
        <v>2.028</v>
      </c>
      <c r="G33" s="7">
        <f t="shared" si="5"/>
        <v>420.9559999999999</v>
      </c>
      <c r="H33" s="7">
        <f>[29]!РаскрытиеПрочиеВН</f>
        <v>0</v>
      </c>
      <c r="I33" s="7">
        <f>[29]!РаскрытиеПрочиеСН1</f>
        <v>0</v>
      </c>
      <c r="J33" s="7">
        <f>[29]!РаскрытиеПрочиеСН2</f>
        <v>0</v>
      </c>
      <c r="K33" s="7">
        <f>[29]!РаскрытиеПрочиеНН</f>
        <v>160.10199999999986</v>
      </c>
      <c r="L33" s="7">
        <v>0</v>
      </c>
      <c r="M33" s="7">
        <v>0</v>
      </c>
      <c r="N33" s="34">
        <f>'[2]06'!$F$98</f>
        <v>2.028</v>
      </c>
      <c r="O33" s="7">
        <v>0</v>
      </c>
      <c r="P33" s="7">
        <f>[29]!РаскрытиеНаселениеВН</f>
        <v>0</v>
      </c>
      <c r="Q33" s="7">
        <f>[29]!РаскрытиеНаселениеСН1</f>
        <v>0</v>
      </c>
      <c r="R33" s="7">
        <f>[29]!РаскрытиеНаселениеСН2</f>
        <v>0</v>
      </c>
      <c r="S33" s="7">
        <f>[29]!РаскрытиеНаселениеНН</f>
        <v>260.85400000000004</v>
      </c>
    </row>
    <row r="34" spans="1:21" s="30" customFormat="1" ht="25.5" customHeight="1">
      <c r="A34" s="24">
        <f t="shared" si="2"/>
        <v>29</v>
      </c>
      <c r="B34" s="25" t="str">
        <f>[19]проверка!A83</f>
        <v>ФГУП "Строительное управление Уральского военного округа"</v>
      </c>
      <c r="C34" s="35">
        <f>SUM(D34:G34)</f>
        <v>722.346</v>
      </c>
      <c r="D34" s="24">
        <f t="shared" si="3"/>
        <v>0</v>
      </c>
      <c r="E34" s="24">
        <f t="shared" si="3"/>
        <v>473.447</v>
      </c>
      <c r="F34" s="24">
        <f t="shared" si="3"/>
        <v>87.617000000000004</v>
      </c>
      <c r="G34" s="24">
        <f t="shared" si="3"/>
        <v>161.28200000000004</v>
      </c>
      <c r="H34" s="24">
        <f>[30]!РаскрытиеПрочиеВН</f>
        <v>0</v>
      </c>
      <c r="I34" s="24">
        <f>[30]!РаскрытиеПрочиеСН1</f>
        <v>455.40300000000002</v>
      </c>
      <c r="J34" s="24">
        <f>[30]!РаскрытиеПрочиеСН2</f>
        <v>87.617000000000004</v>
      </c>
      <c r="K34" s="24">
        <f>[30]!РаскрытиеПрочиеНН</f>
        <v>15.713000000000022</v>
      </c>
      <c r="L34" s="24">
        <f>[30]!РаскрытиеПотериВН</f>
        <v>0</v>
      </c>
      <c r="M34" s="24">
        <f>[30]!РаскрытиеПотериСН1</f>
        <v>0</v>
      </c>
      <c r="N34" s="24">
        <f>[30]!РаскрытиеПотериСН2</f>
        <v>0</v>
      </c>
      <c r="O34" s="24">
        <f>[30]!РаскрытиеПотериНН</f>
        <v>0</v>
      </c>
      <c r="P34" s="24">
        <f>[30]!РаскрытиеНаселениеВН</f>
        <v>0</v>
      </c>
      <c r="Q34" s="24">
        <f>[30]!РаскрытиеНаселениеСН1</f>
        <v>18.044</v>
      </c>
      <c r="R34" s="24">
        <f>[30]!РаскрытиеНаселениеСН2</f>
        <v>0</v>
      </c>
      <c r="S34" s="24">
        <f>[30]!РаскрытиеНаселениеНН</f>
        <v>145.56900000000002</v>
      </c>
    </row>
    <row r="35" spans="1:21" s="30" customFormat="1" ht="25.5" customHeight="1">
      <c r="A35" s="7">
        <f t="shared" si="2"/>
        <v>30</v>
      </c>
      <c r="B35" s="22" t="s">
        <v>39</v>
      </c>
      <c r="C35" s="33">
        <f>SUM(D35:G35)</f>
        <v>593.40100000000007</v>
      </c>
      <c r="D35" s="7">
        <f t="shared" si="3"/>
        <v>363.78000000000003</v>
      </c>
      <c r="E35" s="7">
        <f t="shared" si="3"/>
        <v>0</v>
      </c>
      <c r="F35" s="7">
        <f t="shared" si="3"/>
        <v>219.68900000000002</v>
      </c>
      <c r="G35" s="7">
        <f t="shared" si="3"/>
        <v>9.9319999999999986</v>
      </c>
      <c r="H35" s="7">
        <f>[31]!РаскрытиеПрочиеВН</f>
        <v>335.95100000000002</v>
      </c>
      <c r="I35" s="7">
        <f>[31]!РаскрытиеПрочиеСН1</f>
        <v>0</v>
      </c>
      <c r="J35" s="7">
        <f>[31]!РаскрытиеПрочиеСН2</f>
        <v>207.58200000000002</v>
      </c>
      <c r="K35" s="7">
        <f>[31]!РаскрытиеПрочиеНН</f>
        <v>9.9319999999999986</v>
      </c>
      <c r="L35" s="7">
        <f>'[2]06'!$F$86</f>
        <v>27.829000000000001</v>
      </c>
      <c r="M35" s="7">
        <v>0</v>
      </c>
      <c r="N35" s="36">
        <f>[31]!РаскрытиеПотериСН2</f>
        <v>0</v>
      </c>
      <c r="O35" s="7">
        <f>[31]!РаскрытиеПотериНН</f>
        <v>0</v>
      </c>
      <c r="P35" s="7">
        <f>'[31]Информация для отчётов'!$D$5</f>
        <v>0</v>
      </c>
      <c r="Q35" s="7">
        <f>[31]!РаскрытиеНаселениеСН1</f>
        <v>0</v>
      </c>
      <c r="R35" s="7">
        <f>[31]!РаскрытиеНаселениеСН2</f>
        <v>12.106999999999999</v>
      </c>
      <c r="S35" s="7">
        <f>'[31]Информация для отчётов'!$G$5</f>
        <v>0</v>
      </c>
    </row>
    <row r="36" spans="1:21" s="30" customFormat="1" ht="25.5" customHeight="1">
      <c r="A36" s="7">
        <f t="shared" si="2"/>
        <v>31</v>
      </c>
      <c r="B36" s="22" t="str">
        <f>[19]проверка!A84</f>
        <v>ЗАО "Уральские электрические сети"</v>
      </c>
      <c r="C36" s="33">
        <f>SUM(D36:G36)</f>
        <v>1248.5719999999999</v>
      </c>
      <c r="D36" s="7">
        <f t="shared" si="3"/>
        <v>0</v>
      </c>
      <c r="E36" s="7">
        <f t="shared" si="3"/>
        <v>0</v>
      </c>
      <c r="F36" s="7">
        <f t="shared" si="3"/>
        <v>1239.77</v>
      </c>
      <c r="G36" s="7">
        <f t="shared" si="3"/>
        <v>8.8019999999999996</v>
      </c>
      <c r="H36" s="7">
        <f>[32]!РаскрытиеПрочиеВН</f>
        <v>0</v>
      </c>
      <c r="I36" s="7">
        <f>[32]!РаскрытиеПрочиеСН1</f>
        <v>0</v>
      </c>
      <c r="J36" s="7">
        <f>[32]!РаскрытиеПрочиеСН2</f>
        <v>1224.0540000000001</v>
      </c>
      <c r="K36" s="7">
        <f>[32]!РаскрытиеПрочиеНН</f>
        <v>8.8019999999999996</v>
      </c>
      <c r="L36" s="7">
        <f>[32]!РаскрытиеПотериВН</f>
        <v>0</v>
      </c>
      <c r="M36" s="7">
        <f>[32]!РаскрытиеПотериСН1</f>
        <v>0</v>
      </c>
      <c r="N36" s="7">
        <f>'[2]06'!$F$147</f>
        <v>15.715999999999999</v>
      </c>
      <c r="O36" s="7">
        <f>[32]!РаскрытиеПотериНН</f>
        <v>0</v>
      </c>
      <c r="P36" s="7">
        <f>[32]!РаскрытиеНаселениеВН</f>
        <v>0</v>
      </c>
      <c r="Q36" s="7">
        <f>[32]!РаскрытиеНаселениеСН1</f>
        <v>0</v>
      </c>
      <c r="R36" s="7">
        <f>[32]!РаскрытиеНаселениеСН2</f>
        <v>0</v>
      </c>
      <c r="S36" s="7">
        <f>[32]!РаскрытиеНаселениеНН</f>
        <v>0</v>
      </c>
    </row>
    <row r="37" spans="1:21" s="30" customFormat="1" ht="25.5" customHeight="1">
      <c r="A37" s="24">
        <f t="shared" si="2"/>
        <v>32</v>
      </c>
      <c r="B37" s="25" t="s">
        <v>40</v>
      </c>
      <c r="C37" s="37">
        <f t="shared" si="0"/>
        <v>1592.999</v>
      </c>
      <c r="D37" s="38">
        <f>SUM(H37+L37+P37)-0.001</f>
        <v>1461.432</v>
      </c>
      <c r="E37" s="24">
        <f t="shared" si="3"/>
        <v>0</v>
      </c>
      <c r="F37" s="24">
        <f t="shared" si="3"/>
        <v>124.084</v>
      </c>
      <c r="G37" s="24">
        <f t="shared" si="3"/>
        <v>7.4829999999999988</v>
      </c>
      <c r="H37" s="39">
        <f>[33]!РаскрытиеПрочиеВН</f>
        <v>1461.433</v>
      </c>
      <c r="I37" s="24">
        <f>[33]!РаскрытиеПрочиеСН1</f>
        <v>0</v>
      </c>
      <c r="J37" s="24">
        <f>[33]!РаскрытиеПрочиеСН2</f>
        <v>124.084</v>
      </c>
      <c r="K37" s="24">
        <f>[33]!РаскрытиеПрочиеНН</f>
        <v>7.4829999999999988</v>
      </c>
      <c r="L37" s="40">
        <f>[33]!РаскрытиеПотериВН</f>
        <v>0</v>
      </c>
      <c r="M37" s="24">
        <f>[33]!РаскрытиеПотериСН1</f>
        <v>0</v>
      </c>
      <c r="N37" s="24">
        <f>[33]!РаскрытиеПотериСН2</f>
        <v>0</v>
      </c>
      <c r="O37" s="24">
        <f>[33]!РаскрытиеПотериНН</f>
        <v>0</v>
      </c>
      <c r="P37" s="24">
        <f>[33]!РаскрытиеНаселениеВН</f>
        <v>0</v>
      </c>
      <c r="Q37" s="24">
        <f>[33]!РаскрытиеНаселениеСН1</f>
        <v>0</v>
      </c>
      <c r="R37" s="24">
        <f>[33]!РаскрытиеНаселениеСН2</f>
        <v>0</v>
      </c>
      <c r="S37" s="24">
        <f>[33]!РаскрытиеНаселениеНН</f>
        <v>0</v>
      </c>
    </row>
    <row r="38" spans="1:21" s="30" customFormat="1" ht="25.5" customHeight="1">
      <c r="A38" s="7">
        <f t="shared" si="2"/>
        <v>33</v>
      </c>
      <c r="B38" s="22" t="s">
        <v>41</v>
      </c>
      <c r="C38" s="33">
        <f>SUM(D38:G38)</f>
        <v>1584.2730000000001</v>
      </c>
      <c r="D38" s="7">
        <f>SUM(H38+L38+P38)</f>
        <v>64.430999999999997</v>
      </c>
      <c r="E38" s="7">
        <f t="shared" si="3"/>
        <v>0</v>
      </c>
      <c r="F38" s="7">
        <f t="shared" si="3"/>
        <v>1413.9010000000001</v>
      </c>
      <c r="G38" s="7">
        <f t="shared" si="3"/>
        <v>105.941</v>
      </c>
      <c r="H38" s="7">
        <f>[34]!РаскрытиеПрочиеВН</f>
        <v>0</v>
      </c>
      <c r="I38" s="7">
        <f>[34]!РаскрытиеПрочиеСН1</f>
        <v>0</v>
      </c>
      <c r="J38" s="7">
        <f>[34]!РаскрытиеПрочиеСН2</f>
        <v>1110.3410000000001</v>
      </c>
      <c r="K38" s="7">
        <f>[34]!РаскрытиеПрочиеНН</f>
        <v>105.941</v>
      </c>
      <c r="L38" s="7">
        <f>'[2]06'!$F$163</f>
        <v>64.430999999999997</v>
      </c>
      <c r="M38" s="7">
        <f>[34]!РаскрытиеПотериСН1</f>
        <v>0</v>
      </c>
      <c r="N38" s="7">
        <f>[34]!РаскрытиеПотериСН2</f>
        <v>0</v>
      </c>
      <c r="O38" s="7">
        <f>[34]!РаскрытиеПотериНН</f>
        <v>0</v>
      </c>
      <c r="P38" s="7">
        <f>[34]!РаскрытиеНаселениеВН</f>
        <v>0</v>
      </c>
      <c r="Q38" s="7">
        <f>[34]!РаскрытиеНаселениеСН1</f>
        <v>0</v>
      </c>
      <c r="R38" s="7">
        <f>[34]!РаскрытиеНаселениеСН2</f>
        <v>303.56</v>
      </c>
      <c r="S38" s="7">
        <f>[34]!РаскрытиеНаселениеНН</f>
        <v>0</v>
      </c>
    </row>
    <row r="39" spans="1:21" s="30" customFormat="1" ht="25.5" customHeight="1">
      <c r="A39" s="24">
        <f t="shared" si="2"/>
        <v>34</v>
      </c>
      <c r="B39" s="25" t="s">
        <v>42</v>
      </c>
      <c r="C39" s="35">
        <f>SUM(D39:G39)</f>
        <v>1709.1470000000004</v>
      </c>
      <c r="D39" s="24">
        <f>SUM(H39+L39+P39)</f>
        <v>0</v>
      </c>
      <c r="E39" s="24">
        <f t="shared" si="3"/>
        <v>122.227</v>
      </c>
      <c r="F39" s="24">
        <f t="shared" si="3"/>
        <v>1338.2040000000002</v>
      </c>
      <c r="G39" s="24">
        <f t="shared" si="3"/>
        <v>248.71600000000007</v>
      </c>
      <c r="H39" s="24">
        <f>[35]!РаскрытиеПрочиеВН</f>
        <v>0</v>
      </c>
      <c r="I39" s="24">
        <f>[35]!РаскрытиеПрочиеСН1</f>
        <v>122.227</v>
      </c>
      <c r="J39" s="24">
        <f>[35]!РаскрытиеПрочиеСН2</f>
        <v>1105.0670000000002</v>
      </c>
      <c r="K39" s="24">
        <f>[35]!РаскрытиеПрочиеНН</f>
        <v>71.435000000000059</v>
      </c>
      <c r="L39" s="24">
        <f>[35]!РаскрытиеПотериВН</f>
        <v>0</v>
      </c>
      <c r="M39" s="24">
        <f>[35]!РаскрытиеПотериСН1</f>
        <v>0</v>
      </c>
      <c r="N39" s="24">
        <f>[35]!РаскрытиеПотериСН2</f>
        <v>0</v>
      </c>
      <c r="O39" s="24">
        <f>[35]!РаскрытиеПотериНН</f>
        <v>0</v>
      </c>
      <c r="P39" s="24">
        <f>[35]!РаскрытиеНаселениеВН</f>
        <v>0</v>
      </c>
      <c r="Q39" s="24">
        <f>[35]!РаскрытиеНаселениеСН1</f>
        <v>0</v>
      </c>
      <c r="R39" s="24">
        <f>[35]!РаскрытиеНаселениеСН2</f>
        <v>233.13700000000003</v>
      </c>
      <c r="S39" s="24">
        <f>[35]!РаскрытиеНаселениеНН</f>
        <v>177.28100000000001</v>
      </c>
    </row>
    <row r="40" spans="1:21" s="30" customFormat="1" ht="25.5" customHeight="1">
      <c r="A40" s="7">
        <f t="shared" si="2"/>
        <v>35</v>
      </c>
      <c r="B40" s="22" t="s">
        <v>43</v>
      </c>
      <c r="C40" s="33">
        <f>SUM(D40:G40)</f>
        <v>445.89499999999998</v>
      </c>
      <c r="D40" s="7">
        <f>SUM(H40+L40+P40)</f>
        <v>51.774999999999999</v>
      </c>
      <c r="E40" s="7">
        <f t="shared" si="3"/>
        <v>0</v>
      </c>
      <c r="F40" s="7">
        <f t="shared" si="3"/>
        <v>368.68200000000002</v>
      </c>
      <c r="G40" s="7">
        <f t="shared" si="3"/>
        <v>25.438000000000002</v>
      </c>
      <c r="H40" s="7">
        <f>[36]!РаскрытиеПрочиеВН</f>
        <v>0</v>
      </c>
      <c r="I40" s="7">
        <f>[36]!РаскрытиеПрочиеСН1</f>
        <v>0</v>
      </c>
      <c r="J40" s="7">
        <f>[36]!РаскрытиеПрочиеСН2</f>
        <v>89.342000000000041</v>
      </c>
      <c r="K40" s="7">
        <f>[36]!РаскрытиеПрочиеНН</f>
        <v>0</v>
      </c>
      <c r="L40" s="7">
        <f>'[2]06'!$F$49</f>
        <v>51.774999999999999</v>
      </c>
      <c r="M40" s="7">
        <f>[36]!РаскрытиеПотериСН1</f>
        <v>0</v>
      </c>
      <c r="N40" s="7">
        <f>[36]!РаскрытиеПотериСН2</f>
        <v>0</v>
      </c>
      <c r="O40" s="7">
        <f>[36]!РаскрытиеПотериНН</f>
        <v>0</v>
      </c>
      <c r="P40" s="7">
        <f>[36]!РаскрытиеНаселениеВН</f>
        <v>0</v>
      </c>
      <c r="Q40" s="7">
        <f>[36]!РаскрытиеНаселениеСН1</f>
        <v>0</v>
      </c>
      <c r="R40" s="7">
        <f>[36]!РаскрытиеНаселениеСН2</f>
        <v>279.33999999999997</v>
      </c>
      <c r="S40" s="7">
        <f>[36]!РаскрытиеНаселениеНН</f>
        <v>25.438000000000002</v>
      </c>
    </row>
    <row r="41" spans="1:21" s="30" customFormat="1" ht="25.5" customHeight="1">
      <c r="A41" s="7">
        <f t="shared" si="2"/>
        <v>36</v>
      </c>
      <c r="B41" s="22" t="s">
        <v>44</v>
      </c>
      <c r="C41" s="33">
        <f>SUM(D41:G41)</f>
        <v>890.66500000000008</v>
      </c>
      <c r="D41" s="7">
        <f>SUM(H41+L41+P41)</f>
        <v>0</v>
      </c>
      <c r="E41" s="7">
        <f t="shared" si="3"/>
        <v>0</v>
      </c>
      <c r="F41" s="7">
        <f t="shared" si="3"/>
        <v>889.07500000000005</v>
      </c>
      <c r="G41" s="7">
        <f t="shared" si="3"/>
        <v>1.59</v>
      </c>
      <c r="H41" s="7">
        <f>[37]!РаскрытиеПрочиеВН</f>
        <v>0</v>
      </c>
      <c r="I41" s="7">
        <f>[37]!РаскрытиеПрочиеСН1</f>
        <v>0</v>
      </c>
      <c r="J41" s="7">
        <f>[37]!РаскрытиеПрочиеСН2</f>
        <v>873.42600000000004</v>
      </c>
      <c r="K41" s="7">
        <f>[37]!РаскрытиеПрочиеНН</f>
        <v>1.59</v>
      </c>
      <c r="L41" s="7">
        <f>[37]!РаскрытиеПотериВН</f>
        <v>0</v>
      </c>
      <c r="M41" s="7">
        <f>[37]!РаскрытиеПотериСН1</f>
        <v>0</v>
      </c>
      <c r="N41" s="7">
        <f>'[2]06'!$F$189</f>
        <v>15.648999999999999</v>
      </c>
      <c r="O41" s="7">
        <f>[37]!РаскрытиеПотериНН</f>
        <v>0</v>
      </c>
      <c r="P41" s="7">
        <f>[37]!РаскрытиеНаселениеВН</f>
        <v>0</v>
      </c>
      <c r="Q41" s="7">
        <f>[37]!РаскрытиеНаселениеСН1</f>
        <v>0</v>
      </c>
      <c r="R41" s="7">
        <f>[37]!РаскрытиеНаселениеСН2</f>
        <v>0</v>
      </c>
      <c r="S41" s="7">
        <f>[37]!РаскрытиеНаселениеНН</f>
        <v>0</v>
      </c>
    </row>
    <row r="42" spans="1:21" s="56" customFormat="1" ht="24.75" customHeight="1">
      <c r="A42" s="41"/>
      <c r="B42" s="41" t="s">
        <v>5</v>
      </c>
      <c r="C42" s="42">
        <f>SUM(C6:C41)</f>
        <v>383647.67416000011</v>
      </c>
      <c r="D42" s="42">
        <f>SUM(D6:D41)</f>
        <v>121850.43699999999</v>
      </c>
      <c r="E42" s="42">
        <f t="shared" ref="E42:S42" si="6">SUM(E6:E41)</f>
        <v>9486.3440000000028</v>
      </c>
      <c r="F42" s="42">
        <f t="shared" si="6"/>
        <v>114823.00900000001</v>
      </c>
      <c r="G42" s="42">
        <f t="shared" si="6"/>
        <v>137487.88415999999</v>
      </c>
      <c r="H42" s="42">
        <f t="shared" si="6"/>
        <v>98170.688000000024</v>
      </c>
      <c r="I42" s="42">
        <f t="shared" si="6"/>
        <v>9399.3210000000036</v>
      </c>
      <c r="J42" s="42">
        <f>SUM(J6:J41)</f>
        <v>93921.60500000001</v>
      </c>
      <c r="K42" s="42">
        <f t="shared" si="6"/>
        <v>39738.869990000087</v>
      </c>
      <c r="L42" s="42">
        <f>SUM(L6:L41)</f>
        <v>23457.071000000004</v>
      </c>
      <c r="M42" s="42">
        <f>SUM(M6:M41)</f>
        <v>39.979999999999997</v>
      </c>
      <c r="N42" s="42">
        <f>SUM(N6:N41)</f>
        <v>226.15200000000002</v>
      </c>
      <c r="O42" s="42">
        <f t="shared" si="6"/>
        <v>0</v>
      </c>
      <c r="P42" s="42">
        <f t="shared" si="6"/>
        <v>222.678</v>
      </c>
      <c r="Q42" s="42">
        <f t="shared" si="6"/>
        <v>47.042999999999999</v>
      </c>
      <c r="R42" s="42">
        <f>SUM(R6:R41)</f>
        <v>20675.252000000019</v>
      </c>
      <c r="S42" s="42">
        <f t="shared" si="6"/>
        <v>97749.014169999951</v>
      </c>
    </row>
    <row r="43" spans="1:21">
      <c r="A43" s="3"/>
      <c r="N43" s="46"/>
      <c r="U43" s="53"/>
    </row>
    <row r="44" spans="1:21">
      <c r="A44" s="3"/>
      <c r="D44" s="44"/>
      <c r="E44" s="44"/>
      <c r="F44" s="44"/>
      <c r="G44" s="44"/>
      <c r="H44" s="44"/>
      <c r="N44" s="47"/>
      <c r="U44" s="53"/>
    </row>
    <row r="45" spans="1:21">
      <c r="A45" s="3"/>
      <c r="N45" s="45"/>
      <c r="U45" s="53"/>
    </row>
    <row r="46" spans="1:21">
      <c r="A46" s="3"/>
      <c r="N46" s="45"/>
      <c r="U46" s="53"/>
    </row>
    <row r="47" spans="1:21">
      <c r="U47" s="53"/>
    </row>
    <row r="48" spans="1:21">
      <c r="U48" s="53"/>
    </row>
    <row r="49" spans="21:21">
      <c r="U49" s="53"/>
    </row>
    <row r="50" spans="21:21">
      <c r="U50" s="53"/>
    </row>
    <row r="51" spans="21:21">
      <c r="U51" s="53"/>
    </row>
    <row r="52" spans="21:21">
      <c r="U52" s="53"/>
    </row>
    <row r="53" spans="21:21">
      <c r="U53" s="53"/>
    </row>
    <row r="54" spans="21:21">
      <c r="U54" s="53"/>
    </row>
    <row r="55" spans="21:21">
      <c r="U55" s="53"/>
    </row>
    <row r="56" spans="21:21">
      <c r="U56" s="53"/>
    </row>
    <row r="57" spans="21:21">
      <c r="U57" s="53"/>
    </row>
    <row r="58" spans="21:21">
      <c r="U58" s="53"/>
    </row>
    <row r="59" spans="21:21">
      <c r="U59" s="53"/>
    </row>
    <row r="60" spans="21:21">
      <c r="U60" s="53"/>
    </row>
    <row r="61" spans="21:21">
      <c r="U61" s="53"/>
    </row>
    <row r="62" spans="21:21">
      <c r="U62" s="53"/>
    </row>
    <row r="63" spans="21:21">
      <c r="U63" s="53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(2)</vt:lpstr>
      <vt:lpstr>'Раскрытие информации (2)'!Область_печати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Мисюра</cp:lastModifiedBy>
  <cp:lastPrinted>2013-07-30T02:38:03Z</cp:lastPrinted>
  <dcterms:created xsi:type="dcterms:W3CDTF">2013-07-30T02:34:41Z</dcterms:created>
  <dcterms:modified xsi:type="dcterms:W3CDTF">2013-07-31T09:17:35Z</dcterms:modified>
</cp:coreProperties>
</file>