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4795" windowHeight="10995"/>
  </bookViews>
  <sheets>
    <sheet name="Раскрытие информации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Print_Area" localSheetId="0">'Раскрытие информации (2)'!$A$1:$S$48</definedName>
  </definedNames>
  <calcPr calcId="144525"/>
</workbook>
</file>

<file path=xl/calcChain.xml><?xml version="1.0" encoding="utf-8"?>
<calcChain xmlns="http://schemas.openxmlformats.org/spreadsheetml/2006/main">
  <c r="S41" i="1" l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 s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S35" i="1"/>
  <c r="R35" i="1"/>
  <c r="Q35" i="1"/>
  <c r="P35" i="1"/>
  <c r="D35" i="1" s="1"/>
  <c r="O35" i="1"/>
  <c r="N35" i="1"/>
  <c r="F35" i="1" s="1"/>
  <c r="L35" i="1"/>
  <c r="K35" i="1"/>
  <c r="J35" i="1"/>
  <c r="I35" i="1"/>
  <c r="E35" i="1" s="1"/>
  <c r="H35" i="1"/>
  <c r="G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S33" i="1"/>
  <c r="R33" i="1"/>
  <c r="Q33" i="1"/>
  <c r="P33" i="1"/>
  <c r="D33" i="1" s="1"/>
  <c r="N33" i="1"/>
  <c r="K33" i="1"/>
  <c r="J33" i="1"/>
  <c r="I33" i="1"/>
  <c r="E33" i="1" s="1"/>
  <c r="H33" i="1"/>
  <c r="G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S27" i="1"/>
  <c r="R27" i="1"/>
  <c r="Q27" i="1"/>
  <c r="P27" i="1"/>
  <c r="K27" i="1"/>
  <c r="J27" i="1"/>
  <c r="I27" i="1"/>
  <c r="H27" i="1"/>
  <c r="G27" i="1"/>
  <c r="F27" i="1"/>
  <c r="E27" i="1"/>
  <c r="D27" i="1"/>
  <c r="C27" i="1" s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S23" i="1"/>
  <c r="R23" i="1"/>
  <c r="Q23" i="1"/>
  <c r="P23" i="1"/>
  <c r="K23" i="1"/>
  <c r="J23" i="1"/>
  <c r="I23" i="1"/>
  <c r="H23" i="1"/>
  <c r="G23" i="1"/>
  <c r="F23" i="1"/>
  <c r="E23" i="1"/>
  <c r="D23" i="1"/>
  <c r="C23" i="1" s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 s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 s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 s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S7" i="1"/>
  <c r="R7" i="1"/>
  <c r="Q7" i="1"/>
  <c r="P7" i="1"/>
  <c r="O7" i="1"/>
  <c r="O42" i="1" s="1"/>
  <c r="N7" i="1"/>
  <c r="N42" i="1" s="1"/>
  <c r="M7" i="1"/>
  <c r="M42" i="1" s="1"/>
  <c r="L7" i="1"/>
  <c r="K7" i="1"/>
  <c r="J7" i="1"/>
  <c r="I7" i="1"/>
  <c r="H7" i="1"/>
  <c r="G7" i="1"/>
  <c r="F7" i="1"/>
  <c r="E7" i="1"/>
  <c r="D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S6" i="1"/>
  <c r="S42" i="1" s="1"/>
  <c r="R6" i="1"/>
  <c r="R42" i="1" s="1"/>
  <c r="Q6" i="1"/>
  <c r="Q42" i="1" s="1"/>
  <c r="P6" i="1"/>
  <c r="P42" i="1" s="1"/>
  <c r="L6" i="1"/>
  <c r="K6" i="1"/>
  <c r="K42" i="1" s="1"/>
  <c r="J6" i="1"/>
  <c r="J42" i="1" s="1"/>
  <c r="I6" i="1"/>
  <c r="I42" i="1" s="1"/>
  <c r="H6" i="1"/>
  <c r="H42" i="1" s="1"/>
  <c r="G6" i="1"/>
  <c r="G42" i="1" s="1"/>
  <c r="F6" i="1"/>
  <c r="E6" i="1"/>
  <c r="D6" i="1"/>
  <c r="D42" i="1" s="1"/>
  <c r="F33" i="1" l="1"/>
  <c r="F42" i="1" s="1"/>
  <c r="C30" i="1"/>
  <c r="E42" i="1"/>
  <c r="C6" i="1"/>
  <c r="C7" i="1"/>
  <c r="C33" i="1"/>
  <c r="C35" i="1"/>
  <c r="L42" i="1"/>
  <c r="C10" i="1"/>
  <c r="C12" i="1"/>
  <c r="C14" i="1"/>
  <c r="C16" i="1"/>
  <c r="C18" i="1"/>
  <c r="C20" i="1"/>
  <c r="C22" i="1"/>
  <c r="C39" i="1"/>
  <c r="C41" i="1"/>
  <c r="C26" i="1"/>
  <c r="C28" i="1"/>
  <c r="C29" i="1"/>
  <c r="C31" i="1"/>
  <c r="C32" i="1"/>
  <c r="C34" i="1"/>
  <c r="C42" i="1" l="1"/>
</calcChain>
</file>

<file path=xl/sharedStrings.xml><?xml version="1.0" encoding="utf-8"?>
<sst xmlns="http://schemas.openxmlformats.org/spreadsheetml/2006/main" count="58" uniqueCount="45">
  <si>
    <t>Полезный отпуск электроэнергии потребителям ОАО "Екатеринбургэнергосбыт" в разрезе сетевых организаций, тыс. кВтч</t>
  </si>
  <si>
    <t xml:space="preserve">Апрель 2013 </t>
  </si>
  <si>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</si>
  <si>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</si>
  <si>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</si>
  <si>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</si>
  <si>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</si>
  <si>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</si>
  <si>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</si>
  <si>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</si>
  <si>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</si>
  <si>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</si>
  <si>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</si>
  <si>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</si>
  <si>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ОГУП "Птицефабрика "Свердловская"</t>
  </si>
  <si>
    <t>ОАО "Уралхиммаш"</t>
  </si>
  <si>
    <t>ГУП СО "Облкоммунэнерго"</t>
  </si>
  <si>
    <t>ОАО "РЖД"</t>
  </si>
  <si>
    <t>ООО "Ветта-Инвест"</t>
  </si>
  <si>
    <t>ФГУП "Уральский электромеханический завод"</t>
  </si>
  <si>
    <t>ОАО "Завод БМО"</t>
  </si>
  <si>
    <t>ОАО «УПП «Вектор»</t>
  </si>
  <si>
    <t>ОАО "ВНИИМТ"</t>
  </si>
  <si>
    <t>ОАО «Екатеринбурггаз»</t>
  </si>
  <si>
    <t>ООО «Юг-Энергосервис»</t>
  </si>
  <si>
    <t>ОАО "Аэропорт "Кольцово"</t>
  </si>
  <si>
    <t>ФГАОУ ВПО УрФУ имени первого Президента России Б.Н. Ельцина</t>
  </si>
  <si>
    <t>ЗАО«ЭлектроСетеваяКомпания»</t>
  </si>
  <si>
    <t>ЗАО "Машиностроительный завод имени В.В. Воровского"</t>
  </si>
  <si>
    <t>ООО "ТЭЦ"</t>
  </si>
  <si>
    <t>ООО "Первая Сетевая компания"</t>
  </si>
  <si>
    <t>ЗАО "УТЗ"</t>
  </si>
  <si>
    <t>ООО "Объединенная электросетевая компания"</t>
  </si>
  <si>
    <t>ОАО "НИЗМК"</t>
  </si>
  <si>
    <t>ОАО "Свердловский комбинат хлебопродуктов"</t>
  </si>
  <si>
    <t>ОАО Желдорреммаш</t>
  </si>
  <si>
    <t>ОАО "5 ЦАРЗ"</t>
  </si>
  <si>
    <t>ООО "Логистический центр"</t>
  </si>
  <si>
    <t>ООО "УК Новая территория""</t>
  </si>
  <si>
    <t>ОАО "Уральский завод гражданской авиации</t>
  </si>
  <si>
    <t>ООО "Объединенные Пивоварни Хейнекен" Филиал «Патра»</t>
  </si>
  <si>
    <t>ЗАО "Урал сеть инвест"</t>
  </si>
  <si>
    <t>ОАО "Оборонэнерго"</t>
  </si>
  <si>
    <t>ОАО "Режевская электросетевая компания"</t>
  </si>
  <si>
    <t>ООО "Энергошаля"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</si>
</sst>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#,##0.000"/>
    <numFmt numFmtId="165" formatCode="0.000"/>
    <numFmt numFmtId="166" formatCode="0.0"/>
    <numFmt numFmtId="167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5" borderId="0">
      <alignment horizontal="center" vertical="top"/>
    </xf>
    <xf numFmtId="0" fontId="16" fillId="5" borderId="0">
      <alignment horizontal="left" vertical="top"/>
    </xf>
    <xf numFmtId="0" fontId="16" fillId="5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49" fontId="4" fillId="0" borderId="0" xfId="0" applyNumberFormat="1" applyFont="1" applyBorder="1" applyAlignment="1">
      <alignment horizontal="right"/>
    </xf>
    <xf numFmtId="164" fontId="8" fillId="2" borderId="1" xfId="0" applyNumberFormat="1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vertical="center" wrapText="1" shrinkToFit="1"/>
    </xf>
    <xf numFmtId="164" fontId="8" fillId="3" borderId="1" xfId="0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 shrinkToFit="1"/>
    </xf>
    <xf numFmtId="3" fontId="7" fillId="3" borderId="1" xfId="0" applyNumberFormat="1" applyFont="1" applyFill="1" applyBorder="1" applyAlignment="1">
      <alignment horizontal="center" vertical="center" wrapText="1" shrinkToFit="1"/>
    </xf>
    <xf numFmtId="3" fontId="7" fillId="3" borderId="1" xfId="1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4" fontId="8" fillId="2" borderId="1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164" fontId="8" fillId="0" borderId="1" xfId="0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 shrinkToFi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wrapText="1" shrinkToFit="1"/>
    </xf>
    <xf numFmtId="0" fontId="7" fillId="0" borderId="1" xfId="0" applyFont="1" applyFill="1" applyBorder="1" applyAlignment="1">
      <alignment vertical="center" wrapText="1" shrinkToFit="1"/>
    </xf>
    <xf numFmtId="3" fontId="7" fillId="0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 shrinkToFit="1"/>
    </xf>
    <xf numFmtId="165" fontId="7" fillId="3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1" fontId="7" fillId="3" borderId="1" xfId="0" applyNumberFormat="1" applyFont="1" applyFill="1" applyBorder="1" applyAlignment="1">
      <alignment horizontal="center" vertical="center" wrapText="1" shrinkToFit="1"/>
    </xf>
    <xf numFmtId="165" fontId="8" fillId="0" borderId="1" xfId="0" applyNumberFormat="1" applyFont="1" applyFill="1" applyBorder="1" applyAlignment="1">
      <alignment horizontal="center" vertical="center" wrapText="1" shrinkToFit="1"/>
    </xf>
    <xf numFmtId="2" fontId="7" fillId="0" borderId="1" xfId="0" applyNumberFormat="1" applyFont="1" applyFill="1" applyBorder="1" applyAlignment="1">
      <alignment horizontal="center" vertical="center" wrapText="1" shrinkToFit="1"/>
    </xf>
    <xf numFmtId="166" fontId="7" fillId="0" borderId="1" xfId="0" applyNumberFormat="1" applyFont="1" applyFill="1" applyBorder="1" applyAlignment="1">
      <alignment horizontal="center" vertical="center" wrapText="1" shrinkToFit="1"/>
    </xf>
    <xf numFmtId="1" fontId="7" fillId="0" borderId="1" xfId="0" applyNumberFormat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4" fontId="10" fillId="2" borderId="1" xfId="0" applyNumberFormat="1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vertical="center" wrapText="1"/>
    </xf>
    <xf numFmtId="165" fontId="3" fillId="2" borderId="0" xfId="0" applyNumberFormat="1" applyFont="1" applyFill="1"/>
    <xf numFmtId="164" fontId="3" fillId="2" borderId="0" xfId="0" applyNumberFormat="1" applyFont="1" applyFill="1"/>
    <xf numFmtId="0" fontId="3" fillId="2" borderId="0" xfId="0" applyFont="1" applyFill="1" applyBorder="1"/>
    <xf numFmtId="164" fontId="11" fillId="2" borderId="0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Fill="1"/>
    <xf numFmtId="0" fontId="6" fillId="0" borderId="0" xfId="0" applyFont="1" applyFill="1"/>
    <xf numFmtId="0" fontId="10" fillId="0" borderId="0" xfId="0" applyFont="1" applyFill="1" applyAlignment="1">
      <alignment wrapText="1" shrinkToFit="1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4;&#1072;&#1085;&#1085;&#1099;&#1077;%20&#1076;&#1083;&#1103;%20&#1088;&#1072;&#1089;&#1095;&#1077;&#1090;&#1072;\&#1057;&#1074;&#1086;&#1076;%20&#1074;&#1077;&#1076;%20&#1052;&#1056;&#1057;&#1050;%20&#1072;&#1087;&#1088;13%20&#1082;&#1088;&#1072;&#1090;&#1082;&#108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42;&#1077;&#1082;&#1090;&#1086;&#1088;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42;&#1053;&#1048;&#1048;&#1052;&#1058;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45;&#1082;&#1072;&#1090;&#1077;&#1088;&#1080;&#1085;&#1073;&#1091;&#1088;&#1075;&#1075;&#1072;&#1079;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70;&#1075;-&#1069;&#1085;&#1077;&#1088;&#1075;&#1086;&#1089;&#1077;&#1088;&#1074;&#1080;&#1089;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40;&#1101;&#1088;&#1086;&#1087;&#1086;&#1088;&#1090;%20&#1050;&#1086;&#1083;&#1100;&#1094;&#1086;&#1074;&#1086;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59;&#1055;&#1048;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69;&#1057;&#1050;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42;&#1086;&#1088;&#1086;&#1074;&#1089;&#1082;&#1086;&#1075;&#1086;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58;&#1069;&#1062;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55;&#1088;&#1086;&#1074;&#1077;&#1088;&#1082;&#1072;%20&#1089;&#1074;&#1086;&#1076;&#1085;&#1086;&#1081;%20&#1074;&#1077;&#1076;&#1086;&#1084;&#1086;&#1089;&#1090;&#1080;%20&#1045;&#1069;&#1057;&#1050;%20&#1079;&#1072;%20&#1072;&#1087;&#1088;&#1077;&#1083;&#1100;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54;&#1090;&#1095;&#1077;&#1090;&#1099;\&#1045;&#1078;&#1077;&#1084;&#1077;&#1089;&#1103;&#1095;&#1085;&#1086;\&#1054;&#1073;&#1098;&#1077;&#1084;%20&#1080;%20&#1089;&#1090;&#1086;&#1080;&#1084;&#1086;&#1089;&#1090;&#1100;%20&#1087;&#1086;&#1090;&#1077;&#1088;&#1100;%20&#1074;%20&#1089;&#1077;&#1090;&#1103;&#1093;\2013\&#1055;&#1086;&#1090;&#1077;&#1088;&#1080;%20&#1074;%20&#1089;&#1077;&#1090;&#1103;&#1093;%20&#1058;&#1057;&#1054;,%20&#1089;&#1090;&#1086;&#1080;&#1084;&#1086;&#1089;&#1090;&#1100;%2001.2013-12.201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59;&#1058;&#1047;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54;&#1069;&#1057;&#1050;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53;&#1048;&#1047;&#1052;&#1050;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61;&#1083;&#1077;&#1073;&#1086;&#1087;&#1088;&#1086;&#1076;&#1091;&#1082;&#1090;&#1099;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46;&#1077;&#1083;&#1076;&#1086;&#1088;&#1088;&#1077;&#1084;&#1084;&#1072;&#1096;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59;&#1088;&#1072;&#1083;&#1089;&#1080;&#1073;&#1075;&#1080;&#1076;&#1088;&#1086;&#1084;&#1077;&#1093;&#1072;&#1085;&#1080;&#1079;&#1072;&#1094;&#1080;&#1103;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5%20&#1062;&#1072;&#1088;&#1079;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51;&#1086;&#1075;&#1080;&#1089;&#1090;&#1080;&#1095;&#1077;&#1089;&#1082;&#1080;&#1081;%20&#1094;&#1077;&#1085;&#1090;&#1088;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69;&#1060;&#1045;&#1057;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53;&#1086;&#1074;&#1072;&#1103;%20&#1090;&#1077;&#1088;&#1088;&#1080;&#1090;&#1086;&#1088;&#1080;&#1103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55;&#1090;&#1080;&#1094;&#1077;&#1092;&#1072;&#1073;&#1088;&#1080;&#1082;&#1072;%20&#1057;&#1074;&#1077;&#1088;&#1076;&#1083;&#1086;&#1074;&#1089;&#1082;&#1072;&#1103;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57;&#1059;&#1059;&#1088;&#1042;&#1054;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59;&#1047;&#1043;&#1040;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59;&#1069;&#1057;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55;&#1072;&#1090;&#1088;&#1072;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59;&#1088;&#1072;&#1083;%20&#1089;&#1077;&#1090;&#1100;%20&#1080;&#1085;&#1074;&#1077;&#1089;&#1090;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54;&#1073;&#1086;&#1088;&#1086;&#1085;&#1101;&#1085;&#1077;&#1088;&#1075;&#1086;)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56;&#1069;&#1057;&#1050;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69;&#1085;&#1077;&#1088;&#1075;&#1086;&#1096;&#1072;&#1083;&#1103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61;&#1080;&#1084;&#1084;&#1072;&#1096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54;&#1073;&#1083;&#1082;&#1086;&#1084;&#1084;&#1091;&#1085;&#1101;&#1085;&#1077;&#1088;&#1075;&#1086;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56;&#1046;&#1044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42;&#1077;&#1090;&#1090;&#1072;-&#1048;&#1085;&#1074;&#1077;&#1089;&#1090;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59;&#1069;&#1052;&#1047;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45;&#1069;&#1085;&#1057;\&#1059;&#1055;&#1069;&#1042;&#1058;\&#1058;&#1057;&#1054;\&#1060;&#1086;&#1088;&#1084;&#1080;&#1088;&#1086;&#1074;&#1072;&#1085;&#1080;&#1077;%20&#1087;&#1086;&#1083;&#1077;&#1079;&#1085;&#1086;&#1075;&#1086;%20&#1086;&#1090;&#1087;&#1091;&#1089;&#1082;&#1072;\&#1055;&#1086;&#1090;&#1077;&#1088;&#1080;\&#1045;&#1069;&#1057;&#1050;\2013\04%20&#1072;&#1087;&#1088;&#1077;&#1083;&#1100;%202013\&#1041;&#1072;&#1083;&#1072;&#1085;&#1089;&#1099;%20&#1058;&#1057;&#1054;\&#1058;&#1057;&#1054;\&#1041;&#1072;&#1083;&#1072;&#1085;&#1089;%20&#1058;&#1057;&#1054;%20(&#1047;&#1041;&#1052;&#105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.ведомость (факт) (2)"/>
      <sheetName val="Св.ведомость (факт)"/>
      <sheetName val="Св.ведомость(стар)"/>
      <sheetName val="Лист1"/>
    </sheetNames>
    <sheetDataSet>
      <sheetData sheetId="0"/>
      <sheetData sheetId="1"/>
      <sheetData sheetId="2">
        <row r="17">
          <cell r="D17">
            <v>306.83799999999997</v>
          </cell>
          <cell r="E17">
            <v>59.940000000000005</v>
          </cell>
          <cell r="F17">
            <v>25376.414000000012</v>
          </cell>
          <cell r="G17">
            <v>113833.71932999999</v>
          </cell>
        </row>
        <row r="23">
          <cell r="N23">
            <v>110543.25500000003</v>
          </cell>
          <cell r="O23">
            <v>11299.403</v>
          </cell>
          <cell r="P23">
            <v>141333.92199999996</v>
          </cell>
          <cell r="Q23">
            <v>163266.58733000007</v>
          </cell>
        </row>
      </sheetData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Вектор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62.361000000000004</v>
          </cell>
        </row>
        <row r="6">
          <cell r="D6">
            <v>1386.9090000000003</v>
          </cell>
          <cell r="E6">
            <v>0</v>
          </cell>
          <cell r="F6">
            <v>88.716999999999999</v>
          </cell>
          <cell r="G6">
            <v>37.241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ВНИИМТ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22.72</v>
          </cell>
          <cell r="G5">
            <v>67.554000000000002</v>
          </cell>
        </row>
        <row r="6">
          <cell r="D6">
            <v>70.707999999999998</v>
          </cell>
          <cell r="E6">
            <v>0</v>
          </cell>
          <cell r="F6">
            <v>167.23699999999999</v>
          </cell>
          <cell r="G6">
            <v>41.830999999999989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>
        <row r="81">
          <cell r="G81">
            <v>0.67800000000000005</v>
          </cell>
        </row>
      </sheetData>
      <sheetData sheetId="6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Екатеринбурггаз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0</v>
          </cell>
          <cell r="E6">
            <v>0</v>
          </cell>
          <cell r="F6">
            <v>114.215</v>
          </cell>
          <cell r="G6">
            <v>15.855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Юг-Энергосервис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4.5599999999999996</v>
          </cell>
        </row>
        <row r="6">
          <cell r="D6">
            <v>1692.5859999999998</v>
          </cell>
          <cell r="E6">
            <v>0</v>
          </cell>
          <cell r="F6">
            <v>1092.8149999999998</v>
          </cell>
          <cell r="G6">
            <v>0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Аэропорт Кольцово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9.5000000000000001E-2</v>
          </cell>
          <cell r="G5">
            <v>2.6260000000000003</v>
          </cell>
        </row>
        <row r="6">
          <cell r="D6">
            <v>0</v>
          </cell>
          <cell r="E6">
            <v>2315.692</v>
          </cell>
          <cell r="F6">
            <v>456.64900000000006</v>
          </cell>
          <cell r="G6">
            <v>14.791999999999998</v>
          </cell>
        </row>
        <row r="7">
          <cell r="D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УПИ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2728.0120000000002</v>
          </cell>
        </row>
        <row r="6">
          <cell r="D6">
            <v>5093.3620000000001</v>
          </cell>
          <cell r="E6">
            <v>0</v>
          </cell>
          <cell r="F6">
            <v>351.09400000000005</v>
          </cell>
          <cell r="G6">
            <v>40.090999999999894</v>
          </cell>
        </row>
        <row r="7">
          <cell r="D7">
            <v>81.989000000000004</v>
          </cell>
          <cell r="E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>
        <row r="27">
          <cell r="G27">
            <v>37.055999999999997</v>
          </cell>
        </row>
      </sheetData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ЭСК)"/>
    </sheetNames>
    <definedNames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2061.6009999999992</v>
          </cell>
        </row>
        <row r="6">
          <cell r="D6">
            <v>0</v>
          </cell>
          <cell r="E6">
            <v>0</v>
          </cell>
          <cell r="F6">
            <v>2744.038</v>
          </cell>
          <cell r="G6">
            <v>610.98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Воровского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459.10500000000002</v>
          </cell>
          <cell r="E6">
            <v>0</v>
          </cell>
          <cell r="F6">
            <v>31.68</v>
          </cell>
          <cell r="G6">
            <v>0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ТЭЦ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1674.0609999999999</v>
          </cell>
          <cell r="E6">
            <v>0</v>
          </cell>
          <cell r="F6">
            <v>0</v>
          </cell>
          <cell r="G6">
            <v>5.01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"/>
      <sheetName val="Раскрытие информации (2)"/>
      <sheetName val="Лист1"/>
    </sheetNames>
    <sheetDataSet>
      <sheetData sheetId="0">
        <row r="51">
          <cell r="A51" t="str">
            <v>ООО "ЭФЕС"</v>
          </cell>
        </row>
        <row r="61">
          <cell r="J61">
            <v>0</v>
          </cell>
          <cell r="K61">
            <v>0</v>
          </cell>
          <cell r="Y61">
            <v>0</v>
          </cell>
          <cell r="Z61">
            <v>0</v>
          </cell>
        </row>
        <row r="66">
          <cell r="A66" t="str">
            <v>ОАО "ССП "Уралсибгидромеханизация"</v>
          </cell>
        </row>
        <row r="83">
          <cell r="A83" t="str">
            <v>ФГУП "Строительное управление Уральского военного округа"</v>
          </cell>
        </row>
        <row r="84">
          <cell r="A84" t="str">
            <v>ЗАО "Уральские электрические сети"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</sheetNames>
    <sheetDataSet>
      <sheetData sheetId="0"/>
      <sheetData sheetId="1"/>
      <sheetData sheetId="2"/>
      <sheetData sheetId="3">
        <row r="7">
          <cell r="F7">
            <v>94.893000000000001</v>
          </cell>
        </row>
        <row r="14">
          <cell r="F14">
            <v>80.403999999999996</v>
          </cell>
        </row>
        <row r="23">
          <cell r="F23">
            <v>39338.68</v>
          </cell>
        </row>
        <row r="28">
          <cell r="F28">
            <v>8.8789999999999996</v>
          </cell>
        </row>
        <row r="35">
          <cell r="F35">
            <v>15.868</v>
          </cell>
        </row>
        <row r="44">
          <cell r="F44">
            <v>278.56</v>
          </cell>
        </row>
        <row r="49">
          <cell r="F49">
            <v>1.3939999999999999</v>
          </cell>
        </row>
        <row r="70">
          <cell r="F70">
            <v>34.036999999999999</v>
          </cell>
        </row>
        <row r="77">
          <cell r="F77">
            <v>1.887</v>
          </cell>
        </row>
        <row r="86">
          <cell r="F86">
            <v>29.434999999999999</v>
          </cell>
        </row>
        <row r="91">
          <cell r="F91">
            <v>1.41</v>
          </cell>
        </row>
        <row r="98">
          <cell r="F98">
            <v>7.9000000000000001E-2</v>
          </cell>
        </row>
        <row r="107">
          <cell r="F107">
            <v>1351.077</v>
          </cell>
        </row>
        <row r="112">
          <cell r="F112">
            <v>14.023</v>
          </cell>
        </row>
        <row r="119">
          <cell r="F119">
            <v>0.66300000000000003</v>
          </cell>
        </row>
        <row r="126">
          <cell r="F126">
            <v>46.454000000000001</v>
          </cell>
        </row>
        <row r="133">
          <cell r="F133">
            <v>7.1230000000000002</v>
          </cell>
        </row>
        <row r="140">
          <cell r="F140">
            <v>5.4279999999999999</v>
          </cell>
        </row>
        <row r="147">
          <cell r="F147">
            <v>15.084</v>
          </cell>
        </row>
        <row r="157">
          <cell r="F157">
            <v>53.067999999999998</v>
          </cell>
        </row>
        <row r="163">
          <cell r="F163">
            <v>58.033999999999999</v>
          </cell>
        </row>
        <row r="168">
          <cell r="F168">
            <v>29.780999999999999</v>
          </cell>
        </row>
        <row r="179">
          <cell r="F179">
            <v>11.798</v>
          </cell>
        </row>
        <row r="182">
          <cell r="F182">
            <v>54.604999999999997</v>
          </cell>
        </row>
        <row r="189">
          <cell r="F189">
            <v>1.71</v>
          </cell>
        </row>
      </sheetData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УТЗ)"/>
    </sheetNames>
    <definedNames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187.52099999999999</v>
          </cell>
          <cell r="E6">
            <v>0</v>
          </cell>
          <cell r="F6">
            <v>0</v>
          </cell>
          <cell r="G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ОЭСК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235.565</v>
          </cell>
          <cell r="G5">
            <v>266.97000000000003</v>
          </cell>
        </row>
        <row r="6">
          <cell r="D6">
            <v>0</v>
          </cell>
          <cell r="E6">
            <v>0</v>
          </cell>
          <cell r="F6">
            <v>129.78999999999996</v>
          </cell>
          <cell r="G6">
            <v>103.40399999999994</v>
          </cell>
        </row>
        <row r="7">
          <cell r="D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>
        <row r="65">
          <cell r="G65">
            <v>0.88200000000000001</v>
          </cell>
        </row>
      </sheetData>
      <sheetData sheetId="6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НИЗМК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336.05099999999999</v>
          </cell>
          <cell r="E6">
            <v>0</v>
          </cell>
          <cell r="F6">
            <v>243.33400000000003</v>
          </cell>
          <cell r="G6">
            <v>40.135999999999996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Хлебопродукты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>
        <row r="5">
          <cell r="D5" t="str">
            <v>тыс. кВтч</v>
          </cell>
          <cell r="E5">
            <v>0.25210000000004129</v>
          </cell>
        </row>
        <row r="6">
          <cell r="D6" t="str">
            <v>тыс. кВтч</v>
          </cell>
          <cell r="E6">
            <v>0</v>
          </cell>
        </row>
      </sheetData>
      <sheetData sheetId="1">
        <row r="5">
          <cell r="D5" t="str">
            <v>тыс. кВтч</v>
          </cell>
          <cell r="E5">
            <v>932.2</v>
          </cell>
          <cell r="F5">
            <v>932.2</v>
          </cell>
          <cell r="G5">
            <v>0</v>
          </cell>
        </row>
        <row r="6">
          <cell r="D6" t="str">
            <v>тыс. кВтч</v>
          </cell>
          <cell r="E6">
            <v>355.75600000000003</v>
          </cell>
          <cell r="F6">
            <v>0</v>
          </cell>
          <cell r="G6">
            <v>0</v>
          </cell>
        </row>
      </sheetData>
      <sheetData sheetId="2">
        <row r="5">
          <cell r="D5">
            <v>0</v>
          </cell>
          <cell r="E5">
            <v>0</v>
          </cell>
          <cell r="F5">
            <v>65.914000000000001</v>
          </cell>
          <cell r="G5">
            <v>38.981999999999999</v>
          </cell>
        </row>
        <row r="6">
          <cell r="D6">
            <v>494.00700000000001</v>
          </cell>
          <cell r="E6">
            <v>0</v>
          </cell>
          <cell r="F6">
            <v>286.71300000000002</v>
          </cell>
          <cell r="G6">
            <v>5.1900000000000119</v>
          </cell>
        </row>
      </sheetData>
      <sheetData sheetId="3">
        <row r="5">
          <cell r="D5">
            <v>0</v>
          </cell>
          <cell r="E5" t="str">
            <v>Отчёт ПУСК о покупке объёмов генерации у Уралметпром</v>
          </cell>
        </row>
      </sheetData>
      <sheetData sheetId="4">
        <row r="5">
          <cell r="D5" t="str">
            <v>кВтч</v>
          </cell>
          <cell r="E5">
            <v>931.9479</v>
          </cell>
        </row>
        <row r="6">
          <cell r="D6" t="str">
            <v>кВтч</v>
          </cell>
          <cell r="E6">
            <v>355.75599999999997</v>
          </cell>
        </row>
      </sheetData>
      <sheetData sheetId="5">
        <row r="5">
          <cell r="D5">
            <v>979946</v>
          </cell>
          <cell r="E5" t="str">
            <v>Основной потребитель</v>
          </cell>
          <cell r="F5" t="str">
            <v>День</v>
          </cell>
          <cell r="G5">
            <v>20.062999999999999</v>
          </cell>
        </row>
        <row r="6">
          <cell r="D6">
            <v>993828</v>
          </cell>
          <cell r="E6" t="str">
            <v>СН Основной потребитель</v>
          </cell>
          <cell r="F6" t="str">
            <v>День</v>
          </cell>
          <cell r="G6">
            <v>84.607200000000006</v>
          </cell>
        </row>
      </sheetData>
      <sheetData sheetId="6">
        <row r="5">
          <cell r="D5">
            <v>0</v>
          </cell>
          <cell r="E5">
            <v>311.584</v>
          </cell>
          <cell r="F5">
            <v>44.171999999999997</v>
          </cell>
        </row>
      </sheetData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Желдорреммаш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1054.038</v>
          </cell>
          <cell r="E6">
            <v>0</v>
          </cell>
          <cell r="F6">
            <v>0</v>
          </cell>
          <cell r="G6">
            <v>0.186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Уралсибгидромеханиз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0</v>
          </cell>
          <cell r="E6">
            <v>0</v>
          </cell>
          <cell r="F6">
            <v>75.254999999999995</v>
          </cell>
          <cell r="G6">
            <v>0</v>
          </cell>
        </row>
        <row r="7">
          <cell r="D7">
            <v>0</v>
          </cell>
          <cell r="E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5 Царз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>
        <row r="5">
          <cell r="D5" t="str">
            <v>тыс. кВтч</v>
          </cell>
          <cell r="E5">
            <v>-5.9999999996307452E-4</v>
          </cell>
        </row>
        <row r="6">
          <cell r="D6" t="str">
            <v>тыс. кВтч</v>
          </cell>
          <cell r="E6">
            <v>0</v>
          </cell>
        </row>
        <row r="7">
          <cell r="D7" t="str">
            <v>тыс. кВтч</v>
          </cell>
          <cell r="E7">
            <v>-5.9999999996307452E-4</v>
          </cell>
        </row>
      </sheetData>
      <sheetData sheetId="1">
        <row r="5">
          <cell r="D5" t="str">
            <v>тыс. кВтч</v>
          </cell>
          <cell r="E5">
            <v>462.96100000000001</v>
          </cell>
          <cell r="F5">
            <v>462.96100000000001</v>
          </cell>
          <cell r="G5">
            <v>0</v>
          </cell>
        </row>
        <row r="6">
          <cell r="D6" t="str">
            <v>тыс. кВтч</v>
          </cell>
          <cell r="E6">
            <v>96.855000000000004</v>
          </cell>
          <cell r="F6">
            <v>0</v>
          </cell>
          <cell r="G6">
            <v>0</v>
          </cell>
        </row>
        <row r="7">
          <cell r="D7" t="str">
            <v>тыс. кВтч</v>
          </cell>
          <cell r="E7">
            <v>0</v>
          </cell>
          <cell r="F7">
            <v>0</v>
          </cell>
          <cell r="G7">
            <v>0</v>
          </cell>
        </row>
      </sheetData>
      <sheetData sheetId="2">
        <row r="5">
          <cell r="D5">
            <v>0</v>
          </cell>
          <cell r="E5">
            <v>0</v>
          </cell>
          <cell r="F5">
            <v>7.1199999999999992</v>
          </cell>
          <cell r="G5">
            <v>0</v>
          </cell>
        </row>
        <row r="6">
          <cell r="D6">
            <v>104.91499999999999</v>
          </cell>
          <cell r="E6">
            <v>0</v>
          </cell>
          <cell r="F6">
            <v>88.953999999999994</v>
          </cell>
          <cell r="G6">
            <v>0.78099999999999992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</sheetData>
      <sheetData sheetId="3">
        <row r="5">
          <cell r="D5">
            <v>261.19099999999997</v>
          </cell>
          <cell r="E5" t="str">
            <v>Ведомость приёма-передачи электрической энергии в сеть ЕКБО и в сеть КЭЧ (дог. 24185,18 и дог.  23324,1)</v>
          </cell>
        </row>
        <row r="6">
          <cell r="D6">
            <v>0</v>
          </cell>
        </row>
      </sheetData>
      <sheetData sheetId="4">
        <row r="5">
          <cell r="D5" t="str">
            <v>кВтч</v>
          </cell>
          <cell r="E5">
            <v>462.96159999999998</v>
          </cell>
        </row>
        <row r="6">
          <cell r="D6" t="str">
            <v>кВтч</v>
          </cell>
          <cell r="E6">
            <v>96.855000000000004</v>
          </cell>
        </row>
        <row r="7">
          <cell r="D7" t="str">
            <v>кВтч</v>
          </cell>
          <cell r="E7">
            <v>0</v>
          </cell>
        </row>
      </sheetData>
      <sheetData sheetId="5">
        <row r="5">
          <cell r="D5">
            <v>88409</v>
          </cell>
          <cell r="E5" t="str">
            <v>Основной потребитель</v>
          </cell>
          <cell r="F5" t="str">
            <v>День</v>
          </cell>
          <cell r="G5">
            <v>266.928</v>
          </cell>
        </row>
        <row r="6">
          <cell r="D6">
            <v>88409</v>
          </cell>
          <cell r="E6" t="str">
            <v>Основной потребитель</v>
          </cell>
          <cell r="F6" t="str">
            <v>Ночь</v>
          </cell>
          <cell r="G6">
            <v>114.98399999999999</v>
          </cell>
        </row>
        <row r="7">
          <cell r="D7">
            <v>95651</v>
          </cell>
          <cell r="E7" t="str">
            <v>Основной потребитель ВН</v>
          </cell>
          <cell r="F7" t="str">
            <v>День</v>
          </cell>
          <cell r="G7">
            <v>51.619199999999999</v>
          </cell>
        </row>
      </sheetData>
      <sheetData sheetId="6">
        <row r="5">
          <cell r="D5">
            <v>0</v>
          </cell>
          <cell r="E5">
            <v>96.073999999999998</v>
          </cell>
          <cell r="F5">
            <v>0.78100000000000003</v>
          </cell>
        </row>
      </sheetData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Логистический центр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99.905000000000001</v>
          </cell>
          <cell r="E6">
            <v>0</v>
          </cell>
          <cell r="F6">
            <v>121.233</v>
          </cell>
          <cell r="G6">
            <v>97.04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ЭФЕС)"/>
    </sheetNames>
    <definedNames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63.667999999999999</v>
          </cell>
          <cell r="G5">
            <v>171.65600000000001</v>
          </cell>
        </row>
        <row r="6">
          <cell r="D6">
            <v>0</v>
          </cell>
          <cell r="E6">
            <v>0</v>
          </cell>
          <cell r="F6">
            <v>40.445</v>
          </cell>
          <cell r="G6">
            <v>18.626000000000005</v>
          </cell>
        </row>
        <row r="7">
          <cell r="D7">
            <v>0</v>
          </cell>
          <cell r="E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Новая территория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344.64700000000005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185.50499999999988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Птицефабрика Свердл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4.0600000000000005</v>
          </cell>
          <cell r="F5">
            <v>24.003999999999998</v>
          </cell>
          <cell r="G5">
            <v>37.248999999999995</v>
          </cell>
        </row>
        <row r="6">
          <cell r="D6">
            <v>0</v>
          </cell>
          <cell r="E6">
            <v>563.87300000000005</v>
          </cell>
          <cell r="F6">
            <v>170.86700000000002</v>
          </cell>
          <cell r="G6">
            <v>13.613</v>
          </cell>
        </row>
        <row r="7">
          <cell r="D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СУУрВО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23.325000000000003</v>
          </cell>
          <cell r="F5">
            <v>0</v>
          </cell>
          <cell r="G5">
            <v>146.48700000000002</v>
          </cell>
        </row>
        <row r="6">
          <cell r="D6">
            <v>0</v>
          </cell>
          <cell r="E6">
            <v>730.4609999999999</v>
          </cell>
          <cell r="F6">
            <v>116.04300000000001</v>
          </cell>
          <cell r="G6">
            <v>14.897999999999968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>
        <row r="65">
          <cell r="G65">
            <v>110.892</v>
          </cell>
        </row>
      </sheetData>
      <sheetData sheetId="6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УЗГА)"/>
    </sheetNames>
    <definedNames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13.341000000000001</v>
          </cell>
          <cell r="G5">
            <v>0</v>
          </cell>
        </row>
        <row r="6">
          <cell r="D6">
            <v>561.27300000000002</v>
          </cell>
          <cell r="E6">
            <v>0</v>
          </cell>
          <cell r="F6">
            <v>212.50200000000001</v>
          </cell>
          <cell r="G6">
            <v>37.950000000000003</v>
          </cell>
        </row>
        <row r="7"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УЭС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0</v>
          </cell>
          <cell r="E6">
            <v>0</v>
          </cell>
          <cell r="F6">
            <v>1382.5720000000001</v>
          </cell>
          <cell r="G6">
            <v>8.17</v>
          </cell>
        </row>
        <row r="7">
          <cell r="D7">
            <v>0</v>
          </cell>
          <cell r="E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Патра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1122.1400000000001</v>
          </cell>
          <cell r="E6">
            <v>0</v>
          </cell>
          <cell r="F6">
            <v>217.99699999999999</v>
          </cell>
          <cell r="G6">
            <v>9.9830000000000005</v>
          </cell>
        </row>
        <row r="7">
          <cell r="D7">
            <v>-2.2737367544323206E-13</v>
          </cell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Урал сеть инвест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437.59800000000001</v>
          </cell>
          <cell r="G5">
            <v>0</v>
          </cell>
        </row>
        <row r="6">
          <cell r="D6">
            <v>0</v>
          </cell>
          <cell r="E6">
            <v>0</v>
          </cell>
          <cell r="F6">
            <v>986.6400000000001</v>
          </cell>
          <cell r="G6">
            <v>113.69699999999999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Оборонэнерго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280.01499999999999</v>
          </cell>
          <cell r="G5">
            <v>148.73399999999998</v>
          </cell>
        </row>
        <row r="6">
          <cell r="D6">
            <v>0</v>
          </cell>
          <cell r="E6">
            <v>204.304</v>
          </cell>
          <cell r="F6">
            <v>1688.5659999999998</v>
          </cell>
          <cell r="G6">
            <v>95.950000000000017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>
        <row r="193">
          <cell r="G193">
            <v>42.29</v>
          </cell>
        </row>
      </sheetData>
      <sheetData sheetId="6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РЭСК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303.47800000000001</v>
          </cell>
          <cell r="G5">
            <v>30.999000000000002</v>
          </cell>
        </row>
        <row r="6">
          <cell r="D6">
            <v>0</v>
          </cell>
          <cell r="E6">
            <v>0</v>
          </cell>
          <cell r="F6">
            <v>100.40600000000001</v>
          </cell>
          <cell r="G6">
            <v>1.1340000000000003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Энергошаля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0</v>
          </cell>
          <cell r="E6">
            <v>0</v>
          </cell>
          <cell r="F6">
            <v>693.69199999999989</v>
          </cell>
          <cell r="G6">
            <v>1.9550000000000001</v>
          </cell>
        </row>
        <row r="7">
          <cell r="D7">
            <v>0</v>
          </cell>
          <cell r="E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Химмаш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1.06</v>
          </cell>
          <cell r="G5">
            <v>0</v>
          </cell>
        </row>
        <row r="6">
          <cell r="D6">
            <v>5329.366</v>
          </cell>
          <cell r="E6">
            <v>0</v>
          </cell>
          <cell r="F6">
            <v>727.36999999999989</v>
          </cell>
          <cell r="G6">
            <v>19.795000000000002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Облкоммунэнерго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217.78200000000001</v>
          </cell>
          <cell r="G5">
            <v>406.72200000000004</v>
          </cell>
        </row>
        <row r="6">
          <cell r="D6">
            <v>0</v>
          </cell>
          <cell r="E6">
            <v>0</v>
          </cell>
          <cell r="F6">
            <v>547.88700000000006</v>
          </cell>
          <cell r="G6">
            <v>155.04899999999992</v>
          </cell>
        </row>
        <row r="7">
          <cell r="D7">
            <v>0</v>
          </cell>
          <cell r="E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РЖД)"/>
    </sheetNames>
    <definedNames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ВН" refersTo="='Информация для отчётов'!$D$7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111.93500000000002</v>
          </cell>
          <cell r="G5">
            <v>448.27300000000025</v>
          </cell>
        </row>
        <row r="6">
          <cell r="D6">
            <v>1424.855</v>
          </cell>
          <cell r="E6">
            <v>0</v>
          </cell>
          <cell r="F6">
            <v>990.34</v>
          </cell>
          <cell r="G6">
            <v>346.56399999999996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Ветта-Инвест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25.71</v>
          </cell>
          <cell r="G5">
            <v>297.50600000000009</v>
          </cell>
        </row>
        <row r="6">
          <cell r="D6">
            <v>2.532</v>
          </cell>
          <cell r="E6">
            <v>0</v>
          </cell>
          <cell r="F6">
            <v>79.546999999999997</v>
          </cell>
          <cell r="G6">
            <v>83.38900000000001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УЭМЗ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/>
      <sheetData sheetId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23.893000000000001</v>
          </cell>
        </row>
        <row r="6">
          <cell r="D6">
            <v>2412.6019999999999</v>
          </cell>
          <cell r="E6">
            <v>0</v>
          </cell>
          <cell r="F6">
            <v>964.55200000000002</v>
          </cell>
          <cell r="G6">
            <v>46.155999999999992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баланс"/>
      <sheetName val="Баланс ТСО"/>
      <sheetName val="Информация для отчётов"/>
      <sheetName val="Ввод данных"/>
      <sheetName val="Баланс ТСО (отчёт)"/>
      <sheetName val="Подробный баланс (отчёт)"/>
      <sheetName val="Услуга ТСО"/>
      <sheetName val="Баланс ТСО (ЗБМО)"/>
    </sheetNames>
    <definedNames>
      <definedName name="РаскрытиеНаселениеВН" refersTo="='Информация для отчётов'!$D$5"/>
      <definedName name="РаскрытиеНаселениеНН" refersTo="='Информация для отчётов'!$G$5"/>
      <definedName name="РаскрытиеНаселениеСН1" refersTo="='Информация для отчётов'!$E$5"/>
      <definedName name="РаскрытиеНаселениеСН2" refersTo="='Информация для отчётов'!$F$5"/>
      <definedName name="РаскрытиеПотериНН" refersTo="='Информация для отчётов'!$G$7"/>
      <definedName name="РаскрытиеПотериСН1" refersTo="='Информация для отчётов'!$E$7"/>
      <definedName name="РаскрытиеПотериСН2" refersTo="='Информация для отчётов'!$F$7"/>
      <definedName name="РаскрытиеПрочиеВН" refersTo="='Информация для отчётов'!$D$6"/>
      <definedName name="РаскрытиеПрочиеНН" refersTo="='Информация для отчётов'!$G$6"/>
      <definedName name="РаскрытиеПрочиеСН1" refersTo="='Информация для отчётов'!$E$6"/>
      <definedName name="РаскрытиеПрочиеСН2" refersTo="='Информация для отчётов'!$F$6"/>
    </definedNames>
    <sheetDataSet>
      <sheetData sheetId="0" refreshError="1"/>
      <sheetData sheetId="1" refreshError="1"/>
      <sheetData sheetId="2"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362.05700000000002</v>
          </cell>
          <cell r="E6">
            <v>0</v>
          </cell>
          <cell r="F6">
            <v>210.72000000000003</v>
          </cell>
          <cell r="G6">
            <v>0</v>
          </cell>
        </row>
        <row r="7">
          <cell r="E7">
            <v>0</v>
          </cell>
          <cell r="F7">
            <v>0</v>
          </cell>
          <cell r="G7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zoomScale="80" zoomScaleNormal="80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XEP39" sqref="XEP39"/>
    </sheetView>
  </sheetViews>
  <sheetFormatPr defaultRowHeight="12.75"/>
  <cols>
    <col min="1" max="1" width="9.140625" style="1"/>
    <col min="2" max="2" width="47.5703125" style="43" customWidth="1"/>
    <col min="3" max="3" width="14.7109375" style="3" customWidth="1"/>
    <col min="4" max="19" width="13.28515625" style="3" customWidth="1"/>
    <col min="20" max="20" width="2.5703125" style="3" customWidth="1"/>
    <col min="21" max="16384" width="9.140625" style="3"/>
  </cols>
  <sheetData>
    <row r="1" spans="1:19" s="54" customFormat="1">
      <c r="A1" s="1"/>
      <c r="B1" s="4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s="54" customFormat="1" ht="20.25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5" t="s">
        <v>1</v>
      </c>
    </row>
    <row r="3" spans="1:19" s="54" customFormat="1">
      <c r="A3" s="1"/>
      <c r="B3" s="4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55" customFormat="1" ht="22.5" customHeight="1">
      <c r="A4" s="50" t="s">
        <v>2</v>
      </c>
      <c r="B4" s="50" t="s">
        <v>3</v>
      </c>
      <c r="C4" s="52" t="s">
        <v>4</v>
      </c>
      <c r="D4" s="49" t="s">
        <v>5</v>
      </c>
      <c r="E4" s="49"/>
      <c r="F4" s="49"/>
      <c r="G4" s="49"/>
      <c r="H4" s="49" t="s">
        <v>6</v>
      </c>
      <c r="I4" s="49"/>
      <c r="J4" s="49"/>
      <c r="K4" s="49"/>
      <c r="L4" s="49" t="s">
        <v>7</v>
      </c>
      <c r="M4" s="49"/>
      <c r="N4" s="49"/>
      <c r="O4" s="49"/>
      <c r="P4" s="49" t="s">
        <v>8</v>
      </c>
      <c r="Q4" s="49"/>
      <c r="R4" s="49"/>
      <c r="S4" s="49"/>
    </row>
    <row r="5" spans="1:19" s="30" customFormat="1" ht="27.75" customHeight="1">
      <c r="A5" s="51"/>
      <c r="B5" s="51"/>
      <c r="C5" s="53"/>
      <c r="D5" s="6" t="s">
        <v>9</v>
      </c>
      <c r="E5" s="6" t="s">
        <v>10</v>
      </c>
      <c r="F5" s="6" t="s">
        <v>11</v>
      </c>
      <c r="G5" s="6" t="s">
        <v>12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9</v>
      </c>
      <c r="M5" s="6" t="s">
        <v>10</v>
      </c>
      <c r="N5" s="6" t="s">
        <v>11</v>
      </c>
      <c r="O5" s="6" t="s">
        <v>12</v>
      </c>
      <c r="P5" s="6" t="s">
        <v>9</v>
      </c>
      <c r="Q5" s="6" t="s">
        <v>10</v>
      </c>
      <c r="R5" s="6" t="s">
        <v>11</v>
      </c>
      <c r="S5" s="6" t="s">
        <v>12</v>
      </c>
    </row>
    <row r="6" spans="1:19" s="30" customFormat="1" ht="25.5" customHeight="1">
      <c r="A6" s="7">
        <v>1</v>
      </c>
      <c r="B6" s="8" t="s">
        <v>13</v>
      </c>
      <c r="C6" s="9">
        <f>SUM(D6:G6)</f>
        <v>412967.34733000014</v>
      </c>
      <c r="D6" s="10">
        <f>SUM(H6+L6+P6)</f>
        <v>127283.03000000004</v>
      </c>
      <c r="E6" s="10">
        <f>SUM(I6+M6+Q6)</f>
        <v>7457.6880000000001</v>
      </c>
      <c r="F6" s="10">
        <f>SUM(J6+N6+R6)</f>
        <v>124413.84499999996</v>
      </c>
      <c r="G6" s="10">
        <f>SUM(K6+O6+S6)</f>
        <v>153812.78433000008</v>
      </c>
      <c r="H6" s="10">
        <f>'[1]Св.ведомость(стар)'!$N$23-'[1]Св.ведомость(стар)'!$D$17-SUM('Раскрытие информации (2)'!H7:H41)+'[2]04'!$F$107+'[2]04'!$F$177-L19</f>
        <v>87637.512000000032</v>
      </c>
      <c r="I6" s="10">
        <f>'[1]Св.ведомость(стар)'!$O$23-'[1]Св.ведомость(стар)'!$E$17-SUM(I7:I41)</f>
        <v>7425.1329999999998</v>
      </c>
      <c r="J6" s="10">
        <f>'[1]Св.ведомость(стар)'!$P$23-'[1]Св.ведомость(стар)'!$F$17-SUM(J7:J41)+'[2]04'!$F$179</f>
        <v>100847.43599999994</v>
      </c>
      <c r="K6" s="10">
        <f>'[1]Св.ведомость(стар)'!$Q$23-'[1]Св.ведомость(стар)'!$G$17-SUM(K7:K41)</f>
        <v>47267.897000000077</v>
      </c>
      <c r="L6" s="11">
        <f>'[2]04'!$F$23</f>
        <v>39338.68</v>
      </c>
      <c r="M6" s="12">
        <v>0</v>
      </c>
      <c r="N6" s="12">
        <v>0</v>
      </c>
      <c r="O6" s="12">
        <v>0</v>
      </c>
      <c r="P6" s="10">
        <f>'[1]Св.ведомость(стар)'!$D$17-SUM(P7:P41)</f>
        <v>306.83799999999997</v>
      </c>
      <c r="Q6" s="10">
        <f>'[1]Св.ведомость(стар)'!$E$17-SUM(Q7:Q41)</f>
        <v>32.555</v>
      </c>
      <c r="R6" s="10">
        <f>'[1]Св.ведомость(стар)'!$F$17-SUM(R7:R41)</f>
        <v>23566.409000000011</v>
      </c>
      <c r="S6" s="10">
        <f>'[1]Св.ведомость(стар)'!$G$17-SUM(S7:S41)</f>
        <v>106544.88733</v>
      </c>
    </row>
    <row r="7" spans="1:19" s="30" customFormat="1" ht="25.5" customHeight="1">
      <c r="A7" s="7">
        <f>A6+1</f>
        <v>2</v>
      </c>
      <c r="B7" s="8" t="s">
        <v>14</v>
      </c>
      <c r="C7" s="9">
        <f t="shared" ref="C7:C37" si="0">SUM(D7:G7)</f>
        <v>820.78899999999999</v>
      </c>
      <c r="D7" s="13">
        <f>SUM(H7+L7+P7)</f>
        <v>0</v>
      </c>
      <c r="E7" s="10">
        <f t="shared" ref="D7:G26" si="1">SUM(I7+M7+Q7)</f>
        <v>575.05600000000004</v>
      </c>
      <c r="F7" s="10">
        <f t="shared" si="1"/>
        <v>194.87100000000001</v>
      </c>
      <c r="G7" s="10">
        <f t="shared" si="1"/>
        <v>50.861999999999995</v>
      </c>
      <c r="H7" s="12">
        <f>[3]!РаскрытиеПрочиеВН</f>
        <v>0</v>
      </c>
      <c r="I7" s="11">
        <f>[3]!РаскрытиеПрочиеСН1</f>
        <v>563.87300000000005</v>
      </c>
      <c r="J7" s="11">
        <f>[3]!РаскрытиеПрочиеСН2</f>
        <v>170.86700000000002</v>
      </c>
      <c r="K7" s="11">
        <f>[3]!РаскрытиеПрочиеНН</f>
        <v>13.613</v>
      </c>
      <c r="L7" s="12">
        <f>[3]!РаскрытиеПотериВН</f>
        <v>0</v>
      </c>
      <c r="M7" s="11">
        <f>'[2]04'!$F$133</f>
        <v>7.1230000000000002</v>
      </c>
      <c r="N7" s="12">
        <f>[3]!РаскрытиеПотериСН2</f>
        <v>0</v>
      </c>
      <c r="O7" s="12">
        <f>[3]!РаскрытиеПотериНН</f>
        <v>0</v>
      </c>
      <c r="P7" s="12">
        <f>[3]!РаскрытиеНаселениеВН</f>
        <v>0</v>
      </c>
      <c r="Q7" s="11">
        <f>[3]!РаскрытиеНаселениеСН1</f>
        <v>4.0600000000000005</v>
      </c>
      <c r="R7" s="11">
        <f>[3]!РаскрытиеНаселениеСН2</f>
        <v>24.003999999999998</v>
      </c>
      <c r="S7" s="11">
        <f>[3]!РаскрытиеНаселениеНН</f>
        <v>37.248999999999995</v>
      </c>
    </row>
    <row r="8" spans="1:19" s="30" customFormat="1" ht="25.5" customHeight="1">
      <c r="A8" s="7">
        <f t="shared" ref="A8:A41" si="2">A7+1</f>
        <v>3</v>
      </c>
      <c r="B8" s="8" t="s">
        <v>15</v>
      </c>
      <c r="C8" s="9">
        <f t="shared" si="0"/>
        <v>6107.3719999999994</v>
      </c>
      <c r="D8" s="13">
        <f t="shared" si="1"/>
        <v>5359.1469999999999</v>
      </c>
      <c r="E8" s="10">
        <f t="shared" si="1"/>
        <v>0</v>
      </c>
      <c r="F8" s="10">
        <f t="shared" si="1"/>
        <v>728.42999999999984</v>
      </c>
      <c r="G8" s="10">
        <f t="shared" si="1"/>
        <v>19.795000000000002</v>
      </c>
      <c r="H8" s="12">
        <f>[4]!РаскрытиеПрочиеВН</f>
        <v>5329.366</v>
      </c>
      <c r="I8" s="11">
        <f>[4]!РаскрытиеПрочиеСН1</f>
        <v>0</v>
      </c>
      <c r="J8" s="11">
        <f>[4]!РаскрытиеПрочиеСН2</f>
        <v>727.36999999999989</v>
      </c>
      <c r="K8" s="11">
        <f>[4]!РаскрытиеПрочиеНН</f>
        <v>19.795000000000002</v>
      </c>
      <c r="L8" s="14">
        <f>'[2]04'!$F$168</f>
        <v>29.780999999999999</v>
      </c>
      <c r="M8" s="12">
        <f>[4]!РаскрытиеПотериСН1</f>
        <v>0</v>
      </c>
      <c r="N8" s="12">
        <f>[4]!РаскрытиеПотериСН2</f>
        <v>0</v>
      </c>
      <c r="O8" s="12">
        <f>[4]!РаскрытиеПотериНН</f>
        <v>0</v>
      </c>
      <c r="P8" s="12">
        <f>[4]!РаскрытиеНаселениеВН</f>
        <v>0</v>
      </c>
      <c r="Q8" s="11">
        <f>[4]!РаскрытиеНаселениеСН1</f>
        <v>0</v>
      </c>
      <c r="R8" s="11">
        <f>[4]!РаскрытиеНаселениеСН2</f>
        <v>1.06</v>
      </c>
      <c r="S8" s="11">
        <f>[4]!РаскрытиеНаселениеНН</f>
        <v>0</v>
      </c>
    </row>
    <row r="9" spans="1:19" s="30" customFormat="1" ht="25.5" customHeight="1">
      <c r="A9" s="7">
        <f t="shared" si="2"/>
        <v>4</v>
      </c>
      <c r="B9" s="8" t="s">
        <v>16</v>
      </c>
      <c r="C9" s="9">
        <f t="shared" si="0"/>
        <v>1422.3330000000001</v>
      </c>
      <c r="D9" s="13">
        <f t="shared" si="1"/>
        <v>0</v>
      </c>
      <c r="E9" s="13">
        <f t="shared" si="1"/>
        <v>0</v>
      </c>
      <c r="F9" s="10">
        <f t="shared" si="1"/>
        <v>860.56200000000013</v>
      </c>
      <c r="G9" s="10">
        <f t="shared" si="1"/>
        <v>561.77099999999996</v>
      </c>
      <c r="H9" s="12">
        <f>[5]!РаскрытиеПрочиеВН</f>
        <v>0</v>
      </c>
      <c r="I9" s="12">
        <f>[5]!РаскрытиеПрочиеСН1</f>
        <v>0</v>
      </c>
      <c r="J9" s="11">
        <f>[5]!РаскрытиеПрочиеСН2</f>
        <v>547.88700000000006</v>
      </c>
      <c r="K9" s="11">
        <f>[5]!РаскрытиеПрочиеНН</f>
        <v>155.04899999999992</v>
      </c>
      <c r="L9" s="12">
        <f>[5]!РаскрытиеПотериВН</f>
        <v>0</v>
      </c>
      <c r="M9" s="12">
        <f>[5]!РаскрытиеПотериСН1</f>
        <v>0</v>
      </c>
      <c r="N9" s="11">
        <f>'[2]04'!$F$7</f>
        <v>94.893000000000001</v>
      </c>
      <c r="O9" s="12">
        <f>[5]!РаскрытиеПотериНН</f>
        <v>0</v>
      </c>
      <c r="P9" s="12">
        <f>[5]!РаскрытиеНаселениеВН</f>
        <v>0</v>
      </c>
      <c r="Q9" s="12">
        <f>[5]!РаскрытиеНаселениеСН1</f>
        <v>0</v>
      </c>
      <c r="R9" s="11">
        <f>[5]!РаскрытиеНаселениеСН2</f>
        <v>217.78200000000001</v>
      </c>
      <c r="S9" s="11">
        <f>[5]!РаскрытиеНаселениеНН</f>
        <v>406.72200000000004</v>
      </c>
    </row>
    <row r="10" spans="1:19" s="30" customFormat="1" ht="25.5" customHeight="1">
      <c r="A10" s="15">
        <f t="shared" si="2"/>
        <v>5</v>
      </c>
      <c r="B10" s="16" t="s">
        <v>17</v>
      </c>
      <c r="C10" s="17">
        <f t="shared" si="0"/>
        <v>3321.9670000000006</v>
      </c>
      <c r="D10" s="18">
        <f t="shared" si="1"/>
        <v>1424.855</v>
      </c>
      <c r="E10" s="19">
        <f t="shared" si="1"/>
        <v>0</v>
      </c>
      <c r="F10" s="18">
        <f>SUM(J10+N10+R10)</f>
        <v>1102.2750000000001</v>
      </c>
      <c r="G10" s="18">
        <f t="shared" si="1"/>
        <v>794.83700000000022</v>
      </c>
      <c r="H10" s="20">
        <f>[6]!РаскрытиеПрочиеВН</f>
        <v>1424.855</v>
      </c>
      <c r="I10" s="21">
        <f>[6]!РаскрытиеПрочиеСН1</f>
        <v>0</v>
      </c>
      <c r="J10" s="20">
        <f>[6]!РаскрытиеПрочиеСН2</f>
        <v>990.34</v>
      </c>
      <c r="K10" s="20">
        <f>[6]!РаскрытиеПрочиеНН</f>
        <v>346.56399999999996</v>
      </c>
      <c r="L10" s="21">
        <f>[6]!РаскрытиеПотериВН</f>
        <v>0</v>
      </c>
      <c r="M10" s="21">
        <f>[6]!РаскрытиеПотериСН1</f>
        <v>0</v>
      </c>
      <c r="N10" s="21">
        <f>[6]!РаскрытиеПотериСН2</f>
        <v>0</v>
      </c>
      <c r="O10" s="21">
        <f>[6]!РаскрытиеПотериНН</f>
        <v>0</v>
      </c>
      <c r="P10" s="21">
        <f>'[6]Информация для отчётов'!$D$5</f>
        <v>0</v>
      </c>
      <c r="Q10" s="21">
        <f>[6]!РаскрытиеНаселениеСН1</f>
        <v>0</v>
      </c>
      <c r="R10" s="20">
        <f>[6]!РаскрытиеНаселениеСН2</f>
        <v>111.93500000000002</v>
      </c>
      <c r="S10" s="20">
        <f>'[6]Информация для отчётов'!$G$5</f>
        <v>448.27300000000025</v>
      </c>
    </row>
    <row r="11" spans="1:19" s="30" customFormat="1" ht="25.5" customHeight="1">
      <c r="A11" s="7">
        <f t="shared" si="2"/>
        <v>6</v>
      </c>
      <c r="B11" s="8" t="s">
        <v>18</v>
      </c>
      <c r="C11" s="9">
        <f t="shared" si="0"/>
        <v>569.08800000000008</v>
      </c>
      <c r="D11" s="10">
        <f t="shared" si="1"/>
        <v>82.935999999999993</v>
      </c>
      <c r="E11" s="13">
        <f t="shared" si="1"/>
        <v>0</v>
      </c>
      <c r="F11" s="10">
        <f t="shared" si="1"/>
        <v>105.25700000000001</v>
      </c>
      <c r="G11" s="10">
        <f t="shared" si="1"/>
        <v>380.8950000000001</v>
      </c>
      <c r="H11" s="11">
        <f>[7]!РаскрытиеПрочиеВН</f>
        <v>2.532</v>
      </c>
      <c r="I11" s="12">
        <f>[7]!РаскрытиеПрочиеСН1</f>
        <v>0</v>
      </c>
      <c r="J11" s="11">
        <f>[7]!РаскрытиеПрочиеСН2</f>
        <v>79.546999999999997</v>
      </c>
      <c r="K11" s="11">
        <f>[7]!РаскрытиеПрочиеНН</f>
        <v>83.38900000000001</v>
      </c>
      <c r="L11" s="11">
        <f>'[2]04'!$F$14</f>
        <v>80.403999999999996</v>
      </c>
      <c r="M11" s="12">
        <f>[7]!РаскрытиеПотериСН1</f>
        <v>0</v>
      </c>
      <c r="N11" s="12">
        <f>[7]!РаскрытиеПотериСН2</f>
        <v>0</v>
      </c>
      <c r="O11" s="12">
        <f>[7]!РаскрытиеПотериНН</f>
        <v>0</v>
      </c>
      <c r="P11" s="12">
        <f>[7]!РаскрытиеНаселениеВН</f>
        <v>0</v>
      </c>
      <c r="Q11" s="12">
        <f>[7]!РаскрытиеНаселениеСН1</f>
        <v>0</v>
      </c>
      <c r="R11" s="11">
        <f>[7]!РаскрытиеНаселениеСН2</f>
        <v>25.71</v>
      </c>
      <c r="S11" s="11">
        <f>[7]!РаскрытиеНаселениеНН</f>
        <v>297.50600000000009</v>
      </c>
    </row>
    <row r="12" spans="1:19" s="30" customFormat="1" ht="25.5" customHeight="1">
      <c r="A12" s="7">
        <f t="shared" si="2"/>
        <v>7</v>
      </c>
      <c r="B12" s="22" t="s">
        <v>19</v>
      </c>
      <c r="C12" s="9">
        <f t="shared" si="0"/>
        <v>3493.6570000000002</v>
      </c>
      <c r="D12" s="10">
        <f>SUM(H12+L12+P12)</f>
        <v>2459.056</v>
      </c>
      <c r="E12" s="13">
        <f>SUM(I12+M12+Q12)</f>
        <v>0</v>
      </c>
      <c r="F12" s="10">
        <f>SUM(J12+N12+R12)</f>
        <v>964.55200000000002</v>
      </c>
      <c r="G12" s="10">
        <f>SUM(K12+O12+S12)</f>
        <v>70.048999999999992</v>
      </c>
      <c r="H12" s="11">
        <f>[8]!РаскрытиеПрочиеВН</f>
        <v>2412.6019999999999</v>
      </c>
      <c r="I12" s="12">
        <f>[8]!РаскрытиеПрочиеСН1</f>
        <v>0</v>
      </c>
      <c r="J12" s="11">
        <f>[8]!РаскрытиеПрочиеСН2</f>
        <v>964.55200000000002</v>
      </c>
      <c r="K12" s="11">
        <f>[8]!РаскрытиеПрочиеНН</f>
        <v>46.155999999999992</v>
      </c>
      <c r="L12" s="11">
        <f>'[2]04'!$F$126</f>
        <v>46.454000000000001</v>
      </c>
      <c r="M12" s="12">
        <f>[8]!РаскрытиеПотериСН1</f>
        <v>0</v>
      </c>
      <c r="N12" s="12">
        <f>[8]!РаскрытиеПотериСН2</f>
        <v>0</v>
      </c>
      <c r="O12" s="12">
        <f>[8]!РаскрытиеПотериНН</f>
        <v>0</v>
      </c>
      <c r="P12" s="12">
        <f>[8]!РаскрытиеНаселениеВН</f>
        <v>0</v>
      </c>
      <c r="Q12" s="12">
        <f>[8]!РаскрытиеНаселениеСН1</f>
        <v>0</v>
      </c>
      <c r="R12" s="12">
        <f>[8]!РаскрытиеНаселениеСН2</f>
        <v>0</v>
      </c>
      <c r="S12" s="11">
        <f>[8]!РаскрытиеНаселениеНН</f>
        <v>23.893000000000001</v>
      </c>
    </row>
    <row r="13" spans="1:19" s="30" customFormat="1" ht="25.5" customHeight="1">
      <c r="A13" s="7">
        <f t="shared" si="2"/>
        <v>8</v>
      </c>
      <c r="B13" s="22" t="s">
        <v>20</v>
      </c>
      <c r="C13" s="9">
        <f t="shared" si="0"/>
        <v>586.80000000000007</v>
      </c>
      <c r="D13" s="10">
        <f t="shared" si="1"/>
        <v>376.08000000000004</v>
      </c>
      <c r="E13" s="13">
        <f t="shared" si="1"/>
        <v>0</v>
      </c>
      <c r="F13" s="10">
        <f t="shared" si="1"/>
        <v>210.72000000000003</v>
      </c>
      <c r="G13" s="13">
        <f t="shared" si="1"/>
        <v>0</v>
      </c>
      <c r="H13" s="11">
        <f>[9]!РаскрытиеПрочиеВН</f>
        <v>362.05700000000002</v>
      </c>
      <c r="I13" s="12">
        <f>[9]!РаскрытиеПрочиеСН1</f>
        <v>0</v>
      </c>
      <c r="J13" s="11">
        <f>[9]!РаскрытиеПрочиеСН2</f>
        <v>210.72000000000003</v>
      </c>
      <c r="K13" s="12">
        <f>[9]!РаскрытиеПрочиеНН</f>
        <v>0</v>
      </c>
      <c r="L13" s="11">
        <f>'[2]04'!$F$112</f>
        <v>14.023</v>
      </c>
      <c r="M13" s="12">
        <f>[9]!РаскрытиеПотериСН1</f>
        <v>0</v>
      </c>
      <c r="N13" s="12">
        <f>[9]!РаскрытиеПотериСН2</f>
        <v>0</v>
      </c>
      <c r="O13" s="12">
        <f>[9]!РаскрытиеПотериНН</f>
        <v>0</v>
      </c>
      <c r="P13" s="12">
        <f>[9]!РаскрытиеНаселениеВН</f>
        <v>0</v>
      </c>
      <c r="Q13" s="12">
        <f>[9]!РаскрытиеНаселениеСН1</f>
        <v>0</v>
      </c>
      <c r="R13" s="12">
        <f>[9]!РаскрытиеНаселениеСН2</f>
        <v>0</v>
      </c>
      <c r="S13" s="12">
        <f>[9]!РаскрытиеНаселениеНН</f>
        <v>0</v>
      </c>
    </row>
    <row r="14" spans="1:19" s="30" customFormat="1" ht="25.5" customHeight="1">
      <c r="A14" s="15">
        <f t="shared" si="2"/>
        <v>9</v>
      </c>
      <c r="B14" s="23" t="s">
        <v>21</v>
      </c>
      <c r="C14" s="17">
        <f t="shared" si="0"/>
        <v>1575.2280000000005</v>
      </c>
      <c r="D14" s="18">
        <f t="shared" si="1"/>
        <v>1386.9090000000003</v>
      </c>
      <c r="E14" s="19">
        <f t="shared" si="1"/>
        <v>0</v>
      </c>
      <c r="F14" s="18">
        <f t="shared" si="1"/>
        <v>88.716999999999999</v>
      </c>
      <c r="G14" s="18">
        <f t="shared" si="1"/>
        <v>99.602000000000004</v>
      </c>
      <c r="H14" s="20">
        <f>[10]!РаскрытиеПрочиеВН</f>
        <v>1386.9090000000003</v>
      </c>
      <c r="I14" s="21">
        <f>[10]!РаскрытиеПрочиеСН1</f>
        <v>0</v>
      </c>
      <c r="J14" s="20">
        <f>[10]!РаскрытиеПрочиеСН2</f>
        <v>88.716999999999999</v>
      </c>
      <c r="K14" s="20">
        <f>[10]!РаскрытиеПрочиеНН</f>
        <v>37.241</v>
      </c>
      <c r="L14" s="21">
        <f>[10]!РаскрытиеПотериВН</f>
        <v>0</v>
      </c>
      <c r="M14" s="21">
        <f>[10]!РаскрытиеПотериСН1</f>
        <v>0</v>
      </c>
      <c r="N14" s="21">
        <f>[10]!РаскрытиеПотериСН2</f>
        <v>0</v>
      </c>
      <c r="O14" s="21">
        <f>[10]!РаскрытиеПотериНН</f>
        <v>0</v>
      </c>
      <c r="P14" s="21">
        <f>[10]!РаскрытиеНаселениеВН</f>
        <v>0</v>
      </c>
      <c r="Q14" s="21">
        <f>[10]!РаскрытиеНаселениеСН1</f>
        <v>0</v>
      </c>
      <c r="R14" s="21">
        <f>[10]!РаскрытиеНаселениеСН2</f>
        <v>0</v>
      </c>
      <c r="S14" s="20">
        <f>[10]!РаскрытиеНаселениеНН</f>
        <v>62.361000000000004</v>
      </c>
    </row>
    <row r="15" spans="1:19" s="30" customFormat="1" ht="25.5" customHeight="1">
      <c r="A15" s="7">
        <f t="shared" si="2"/>
        <v>10</v>
      </c>
      <c r="B15" s="8" t="s">
        <v>22</v>
      </c>
      <c r="C15" s="9">
        <f t="shared" si="0"/>
        <v>375.47799999999995</v>
      </c>
      <c r="D15" s="10">
        <f t="shared" si="1"/>
        <v>76.135999999999996</v>
      </c>
      <c r="E15" s="13">
        <f t="shared" si="1"/>
        <v>0</v>
      </c>
      <c r="F15" s="10">
        <f t="shared" si="1"/>
        <v>189.95699999999999</v>
      </c>
      <c r="G15" s="10">
        <f t="shared" si="1"/>
        <v>109.38499999999999</v>
      </c>
      <c r="H15" s="11">
        <f>[11]!РаскрытиеПрочиеВН</f>
        <v>70.707999999999998</v>
      </c>
      <c r="I15" s="12">
        <f>[11]!РаскрытиеПрочиеСН1</f>
        <v>0</v>
      </c>
      <c r="J15" s="11">
        <f>[11]!РаскрытиеПрочиеСН2</f>
        <v>167.23699999999999</v>
      </c>
      <c r="K15" s="11">
        <f>[11]!РаскрытиеПрочиеНН</f>
        <v>41.830999999999989</v>
      </c>
      <c r="L15" s="11">
        <f>'[2]04'!$F$140</f>
        <v>5.4279999999999999</v>
      </c>
      <c r="M15" s="12">
        <f>[11]!РаскрытиеПотериСН1</f>
        <v>0</v>
      </c>
      <c r="N15" s="12">
        <f>[11]!РаскрытиеПотериСН2</f>
        <v>0</v>
      </c>
      <c r="O15" s="12">
        <f>[11]!РаскрытиеПотериНН</f>
        <v>0</v>
      </c>
      <c r="P15" s="12">
        <f>[11]!РаскрытиеНаселениеВН</f>
        <v>0</v>
      </c>
      <c r="Q15" s="12">
        <f>[11]!РаскрытиеНаселениеСН1</f>
        <v>0</v>
      </c>
      <c r="R15" s="11">
        <f>[11]!РаскрытиеНаселениеСН2</f>
        <v>22.72</v>
      </c>
      <c r="S15" s="11">
        <f>[11]!РаскрытиеНаселениеНН</f>
        <v>67.554000000000002</v>
      </c>
    </row>
    <row r="16" spans="1:19" s="30" customFormat="1" ht="25.5" customHeight="1">
      <c r="A16" s="15">
        <f t="shared" si="2"/>
        <v>11</v>
      </c>
      <c r="B16" s="23" t="s">
        <v>23</v>
      </c>
      <c r="C16" s="17">
        <f t="shared" si="0"/>
        <v>130.07</v>
      </c>
      <c r="D16" s="19">
        <f t="shared" si="1"/>
        <v>0</v>
      </c>
      <c r="E16" s="19">
        <f t="shared" si="1"/>
        <v>0</v>
      </c>
      <c r="F16" s="18">
        <f t="shared" si="1"/>
        <v>114.215</v>
      </c>
      <c r="G16" s="18">
        <f t="shared" si="1"/>
        <v>15.855</v>
      </c>
      <c r="H16" s="21">
        <f>[12]!РаскрытиеПрочиеВН</f>
        <v>0</v>
      </c>
      <c r="I16" s="21">
        <f>[12]!РаскрытиеПрочиеСН1</f>
        <v>0</v>
      </c>
      <c r="J16" s="20">
        <f>[12]!РаскрытиеПрочиеСН2</f>
        <v>114.215</v>
      </c>
      <c r="K16" s="20">
        <f>[12]!РаскрытиеПрочиеНН</f>
        <v>15.855</v>
      </c>
      <c r="L16" s="21">
        <f>[12]!РаскрытиеПотериВН</f>
        <v>0</v>
      </c>
      <c r="M16" s="21">
        <f>[12]!РаскрытиеПотериСН1</f>
        <v>0</v>
      </c>
      <c r="N16" s="21">
        <f>[12]!РаскрытиеПотериСН2</f>
        <v>0</v>
      </c>
      <c r="O16" s="21">
        <f>[12]!РаскрытиеПотериНН</f>
        <v>0</v>
      </c>
      <c r="P16" s="21">
        <f>[12]!РаскрытиеНаселениеВН</f>
        <v>0</v>
      </c>
      <c r="Q16" s="21">
        <f>[12]!РаскрытиеНаселениеСН1</f>
        <v>0</v>
      </c>
      <c r="R16" s="21">
        <f>[12]!РаскрытиеНаселениеСН2</f>
        <v>0</v>
      </c>
      <c r="S16" s="21">
        <f>[12]!РаскрытиеНаселениеНН</f>
        <v>0</v>
      </c>
    </row>
    <row r="17" spans="1:19" s="30" customFormat="1" ht="25.5" customHeight="1">
      <c r="A17" s="7">
        <f t="shared" si="2"/>
        <v>12</v>
      </c>
      <c r="B17" s="8" t="s">
        <v>24</v>
      </c>
      <c r="C17" s="9">
        <f t="shared" si="0"/>
        <v>2844.5659999999993</v>
      </c>
      <c r="D17" s="10">
        <f t="shared" si="1"/>
        <v>1747.1909999999998</v>
      </c>
      <c r="E17" s="13">
        <f t="shared" si="1"/>
        <v>0</v>
      </c>
      <c r="F17" s="10">
        <f t="shared" si="1"/>
        <v>1092.8149999999998</v>
      </c>
      <c r="G17" s="10">
        <f t="shared" si="1"/>
        <v>4.5599999999999996</v>
      </c>
      <c r="H17" s="11">
        <f>[13]!РаскрытиеПрочиеВН</f>
        <v>1692.5859999999998</v>
      </c>
      <c r="I17" s="12">
        <f>[13]!РаскрытиеПрочиеСН1</f>
        <v>0</v>
      </c>
      <c r="J17" s="11">
        <f>[13]!РаскрытиеПрочиеСН2</f>
        <v>1092.8149999999998</v>
      </c>
      <c r="K17" s="11">
        <f>[13]!РаскрытиеПрочиеНН</f>
        <v>0</v>
      </c>
      <c r="L17" s="11">
        <f>'[2]04'!$F$182</f>
        <v>54.604999999999997</v>
      </c>
      <c r="M17" s="12">
        <f>[13]!РаскрытиеПотериСН1</f>
        <v>0</v>
      </c>
      <c r="N17" s="12">
        <f>[13]!РаскрытиеПотериСН2</f>
        <v>0</v>
      </c>
      <c r="O17" s="12">
        <f>[13]!РаскрытиеПотериНН</f>
        <v>0</v>
      </c>
      <c r="P17" s="12">
        <f>[13]!РаскрытиеНаселениеВН</f>
        <v>0</v>
      </c>
      <c r="Q17" s="12">
        <f>[13]!РаскрытиеНаселениеСН1</f>
        <v>0</v>
      </c>
      <c r="R17" s="11">
        <f>[13]!РаскрытиеНаселениеСН2</f>
        <v>0</v>
      </c>
      <c r="S17" s="11">
        <f>[13]!РаскрытиеНаселениеНН</f>
        <v>4.5599999999999996</v>
      </c>
    </row>
    <row r="18" spans="1:19" s="30" customFormat="1" ht="25.5" customHeight="1">
      <c r="A18" s="7">
        <f t="shared" si="2"/>
        <v>13</v>
      </c>
      <c r="B18" s="8" t="s">
        <v>25</v>
      </c>
      <c r="C18" s="9">
        <f t="shared" si="0"/>
        <v>2842.9220000000005</v>
      </c>
      <c r="D18" s="10">
        <f t="shared" si="1"/>
        <v>0</v>
      </c>
      <c r="E18" s="13">
        <f t="shared" si="1"/>
        <v>2368.7600000000002</v>
      </c>
      <c r="F18" s="10">
        <f t="shared" si="1"/>
        <v>456.74400000000009</v>
      </c>
      <c r="G18" s="10">
        <f t="shared" si="1"/>
        <v>17.417999999999999</v>
      </c>
      <c r="H18" s="11">
        <f>[14]!РаскрытиеПрочиеВН</f>
        <v>0</v>
      </c>
      <c r="I18" s="11">
        <f>[14]!РаскрытиеПрочиеСН1</f>
        <v>2315.692</v>
      </c>
      <c r="J18" s="11">
        <f>[14]!РаскрытиеПрочиеСН2</f>
        <v>456.64900000000006</v>
      </c>
      <c r="K18" s="11">
        <f>[14]!РаскрытиеПрочиеНН</f>
        <v>14.791999999999998</v>
      </c>
      <c r="L18" s="12">
        <f>[14]!РаскрытиеПотериВН</f>
        <v>0</v>
      </c>
      <c r="M18" s="11">
        <f>'[2]04'!$F$157</f>
        <v>53.067999999999998</v>
      </c>
      <c r="N18" s="12">
        <f>[14]!РаскрытиеПотериСН2</f>
        <v>0</v>
      </c>
      <c r="O18" s="12">
        <f>[14]!РаскрытиеПотериНН</f>
        <v>0</v>
      </c>
      <c r="P18" s="12">
        <f>[14]!РаскрытиеНаселениеВН</f>
        <v>0</v>
      </c>
      <c r="Q18" s="12">
        <f>[14]!РаскрытиеНаселениеСН1</f>
        <v>0</v>
      </c>
      <c r="R18" s="11">
        <f>[14]!РаскрытиеНаселениеСН2</f>
        <v>9.5000000000000001E-2</v>
      </c>
      <c r="S18" s="11">
        <f>[14]!РаскрытиеНаселениеНН</f>
        <v>2.6260000000000003</v>
      </c>
    </row>
    <row r="19" spans="1:19" s="30" customFormat="1" ht="25.5" customHeight="1">
      <c r="A19" s="24">
        <f t="shared" si="2"/>
        <v>14</v>
      </c>
      <c r="B19" s="25" t="s">
        <v>26</v>
      </c>
      <c r="C19" s="26">
        <f>SUM(D19:G19)</f>
        <v>8294.5489999999991</v>
      </c>
      <c r="D19" s="27">
        <f>SUM(H19+L19+P19)+0.001</f>
        <v>5175.3519999999999</v>
      </c>
      <c r="E19" s="27">
        <f>SUM(I19+M19+Q19)</f>
        <v>0</v>
      </c>
      <c r="F19" s="27">
        <f t="shared" si="1"/>
        <v>351.09400000000005</v>
      </c>
      <c r="G19" s="27">
        <f t="shared" si="1"/>
        <v>2768.1030000000001</v>
      </c>
      <c r="H19" s="28">
        <f>[15]!РаскрытиеПрочиеВН</f>
        <v>5093.3620000000001</v>
      </c>
      <c r="I19" s="28">
        <f>[15]!РаскрытиеПрочиеСН1</f>
        <v>0</v>
      </c>
      <c r="J19" s="28">
        <f>[15]!РаскрытиеПрочиеСН2</f>
        <v>351.09400000000005</v>
      </c>
      <c r="K19" s="28">
        <f>[15]!РаскрытиеПрочиеНН</f>
        <v>40.090999999999894</v>
      </c>
      <c r="L19" s="14">
        <f>[15]!РаскрытиеПотериВН</f>
        <v>81.989000000000004</v>
      </c>
      <c r="M19" s="29">
        <f>[15]!РаскрытиеПотериСН1</f>
        <v>0</v>
      </c>
      <c r="N19" s="29">
        <f>[15]!РаскрытиеПотериСН2</f>
        <v>0</v>
      </c>
      <c r="O19" s="29">
        <f>[15]!РаскрытиеПотериНН</f>
        <v>0</v>
      </c>
      <c r="P19" s="29">
        <f>[15]!РаскрытиеНаселениеВН</f>
        <v>0</v>
      </c>
      <c r="Q19" s="29">
        <f>[15]!РаскрытиеНаселениеСН1</f>
        <v>0</v>
      </c>
      <c r="R19" s="29">
        <f>[15]!РаскрытиеНаселениеСН2</f>
        <v>0</v>
      </c>
      <c r="S19" s="28">
        <f>[15]!РаскрытиеНаселениеНН</f>
        <v>2728.0120000000002</v>
      </c>
    </row>
    <row r="20" spans="1:19" s="30" customFormat="1" ht="25.5" customHeight="1">
      <c r="A20" s="7">
        <f t="shared" si="2"/>
        <v>15</v>
      </c>
      <c r="B20" s="22" t="s">
        <v>27</v>
      </c>
      <c r="C20" s="9">
        <f t="shared" si="0"/>
        <v>5418.5059999999994</v>
      </c>
      <c r="D20" s="10">
        <f t="shared" si="1"/>
        <v>1.887</v>
      </c>
      <c r="E20" s="13">
        <f t="shared" si="1"/>
        <v>0</v>
      </c>
      <c r="F20" s="10">
        <f t="shared" si="1"/>
        <v>2744.038</v>
      </c>
      <c r="G20" s="10">
        <f t="shared" si="1"/>
        <v>2672.5809999999992</v>
      </c>
      <c r="H20" s="11">
        <f>[16]!РаскрытиеПрочиеВН</f>
        <v>0</v>
      </c>
      <c r="I20" s="12">
        <f>[16]!РаскрытиеПрочиеСН1</f>
        <v>0</v>
      </c>
      <c r="J20" s="11">
        <f>[16]!РаскрытиеПрочиеСН2</f>
        <v>2744.038</v>
      </c>
      <c r="K20" s="11">
        <f>[16]!РаскрытиеПрочиеНН</f>
        <v>610.98</v>
      </c>
      <c r="L20" s="11">
        <f>'[2]04'!$F$77</f>
        <v>1.887</v>
      </c>
      <c r="M20" s="12">
        <f>[16]!РаскрытиеПотериСН1</f>
        <v>0</v>
      </c>
      <c r="N20" s="12">
        <f>[16]!РаскрытиеПотериСН2</f>
        <v>0</v>
      </c>
      <c r="O20" s="12">
        <f>[16]!РаскрытиеПотериНН</f>
        <v>0</v>
      </c>
      <c r="P20" s="12">
        <f>'[16]Информация для отчётов'!$D$5</f>
        <v>0</v>
      </c>
      <c r="Q20" s="12">
        <f>[16]!РаскрытиеНаселениеСН1</f>
        <v>0</v>
      </c>
      <c r="R20" s="12">
        <f>[16]!РаскрытиеНаселениеСН2</f>
        <v>0</v>
      </c>
      <c r="S20" s="11">
        <f>'[16]Информация для отчётов'!$G$5</f>
        <v>2061.6009999999992</v>
      </c>
    </row>
    <row r="21" spans="1:19" s="30" customFormat="1" ht="25.5" customHeight="1">
      <c r="A21" s="7">
        <f t="shared" si="2"/>
        <v>16</v>
      </c>
      <c r="B21" s="22" t="s">
        <v>28</v>
      </c>
      <c r="C21" s="9">
        <f t="shared" si="0"/>
        <v>491.44800000000004</v>
      </c>
      <c r="D21" s="10">
        <f t="shared" si="1"/>
        <v>459.76800000000003</v>
      </c>
      <c r="E21" s="13">
        <f t="shared" si="1"/>
        <v>0</v>
      </c>
      <c r="F21" s="10">
        <f>SUM(J21+N21+R21)</f>
        <v>31.68</v>
      </c>
      <c r="G21" s="13">
        <f t="shared" si="1"/>
        <v>0</v>
      </c>
      <c r="H21" s="11">
        <f>[17]!РаскрытиеПрочиеВН</f>
        <v>459.10500000000002</v>
      </c>
      <c r="I21" s="12">
        <f>[17]!РаскрытиеПрочиеСН1</f>
        <v>0</v>
      </c>
      <c r="J21" s="11">
        <f>[17]!РаскрытиеПрочиеСН2</f>
        <v>31.68</v>
      </c>
      <c r="K21" s="12">
        <f>[17]!РаскрытиеПрочиеНН</f>
        <v>0</v>
      </c>
      <c r="L21" s="11">
        <f>'[2]04'!$F$119</f>
        <v>0.66300000000000003</v>
      </c>
      <c r="M21" s="12">
        <f>[17]!РаскрытиеПотериСН1</f>
        <v>0</v>
      </c>
      <c r="N21" s="12">
        <f>[17]!РаскрытиеПотериСН2</f>
        <v>0</v>
      </c>
      <c r="O21" s="12">
        <f>[17]!РаскрытиеПотериНН</f>
        <v>0</v>
      </c>
      <c r="P21" s="12">
        <f>[17]!РаскрытиеНаселениеВН</f>
        <v>0</v>
      </c>
      <c r="Q21" s="12">
        <f>[17]!РаскрытиеНаселениеСН1</f>
        <v>0</v>
      </c>
      <c r="R21" s="12">
        <f>[17]!РаскрытиеНаселениеСН2</f>
        <v>0</v>
      </c>
      <c r="S21" s="12">
        <f>[17]!РаскрытиеНаселениеНН</f>
        <v>0</v>
      </c>
    </row>
    <row r="22" spans="1:19" s="30" customFormat="1" ht="25.5" customHeight="1">
      <c r="A22" s="7">
        <f t="shared" si="2"/>
        <v>17</v>
      </c>
      <c r="B22" s="22" t="s">
        <v>29</v>
      </c>
      <c r="C22" s="9">
        <f t="shared" si="0"/>
        <v>1957.6309999999999</v>
      </c>
      <c r="D22" s="10">
        <f t="shared" si="1"/>
        <v>1952.6209999999999</v>
      </c>
      <c r="E22" s="13">
        <f t="shared" si="1"/>
        <v>0</v>
      </c>
      <c r="F22" s="10">
        <f t="shared" si="1"/>
        <v>0</v>
      </c>
      <c r="G22" s="10">
        <f t="shared" si="1"/>
        <v>5.01</v>
      </c>
      <c r="H22" s="11">
        <f>[18]!РаскрытиеПрочиеВН</f>
        <v>1674.0609999999999</v>
      </c>
      <c r="I22" s="12">
        <f>[18]!РаскрытиеПрочиеСН1</f>
        <v>0</v>
      </c>
      <c r="J22" s="11">
        <f>[18]!РаскрытиеПрочиеСН2</f>
        <v>0</v>
      </c>
      <c r="K22" s="11">
        <f>[18]!РаскрытиеПрочиеНН</f>
        <v>5.01</v>
      </c>
      <c r="L22" s="11">
        <f>'[2]04'!$F$44</f>
        <v>278.56</v>
      </c>
      <c r="M22" s="12">
        <f>[18]!РаскрытиеПотериСН1</f>
        <v>0</v>
      </c>
      <c r="N22" s="12">
        <f>[18]!РаскрытиеПотериСН2</f>
        <v>0</v>
      </c>
      <c r="O22" s="12">
        <f>[18]!РаскрытиеПотериНН</f>
        <v>0</v>
      </c>
      <c r="P22" s="12">
        <f>[18]!РаскрытиеНаселениеВН</f>
        <v>0</v>
      </c>
      <c r="Q22" s="12">
        <f>[18]!РаскрытиеНаселениеСН1</f>
        <v>0</v>
      </c>
      <c r="R22" s="12">
        <f>[18]!РаскрытиеНаселениеСН2</f>
        <v>0</v>
      </c>
      <c r="S22" s="12">
        <f>[18]!РаскрытиеНаселениеНН</f>
        <v>0</v>
      </c>
    </row>
    <row r="23" spans="1:19" s="30" customFormat="1" ht="25.5" customHeight="1">
      <c r="A23" s="7">
        <f t="shared" si="2"/>
        <v>18</v>
      </c>
      <c r="B23" s="22" t="s">
        <v>30</v>
      </c>
      <c r="C23" s="9">
        <f t="shared" si="0"/>
        <v>0</v>
      </c>
      <c r="D23" s="13">
        <f t="shared" si="1"/>
        <v>0</v>
      </c>
      <c r="E23" s="13">
        <f t="shared" si="1"/>
        <v>0</v>
      </c>
      <c r="F23" s="10">
        <f t="shared" si="1"/>
        <v>0</v>
      </c>
      <c r="G23" s="10">
        <f t="shared" si="1"/>
        <v>0</v>
      </c>
      <c r="H23" s="12">
        <f>-[19]проверка!H61-[19]проверка!M61</f>
        <v>0</v>
      </c>
      <c r="I23" s="12">
        <f>-[19]проверка!I61-[19]проверка!N61</f>
        <v>0</v>
      </c>
      <c r="J23" s="11">
        <f>-[19]проверка!J61-[19]проверка!O61</f>
        <v>0</v>
      </c>
      <c r="K23" s="12">
        <f>-[19]проверка!K61-[19]проверка!P61</f>
        <v>0</v>
      </c>
      <c r="L23" s="12">
        <v>0</v>
      </c>
      <c r="M23" s="12">
        <v>0</v>
      </c>
      <c r="N23" s="12">
        <v>0</v>
      </c>
      <c r="O23" s="12">
        <v>0</v>
      </c>
      <c r="P23" s="12">
        <f>-[19]проверка!W61</f>
        <v>0</v>
      </c>
      <c r="Q23" s="12">
        <f>-[19]проверка!X61</f>
        <v>0</v>
      </c>
      <c r="R23" s="11">
        <f>-[19]проверка!Y61</f>
        <v>0</v>
      </c>
      <c r="S23" s="11">
        <f>-[19]проверка!Z61</f>
        <v>0</v>
      </c>
    </row>
    <row r="24" spans="1:19" s="30" customFormat="1" ht="25.5" customHeight="1">
      <c r="A24" s="15">
        <f t="shared" si="2"/>
        <v>19</v>
      </c>
      <c r="B24" s="23" t="s">
        <v>31</v>
      </c>
      <c r="C24" s="17">
        <f t="shared" si="0"/>
        <v>187.52099999999999</v>
      </c>
      <c r="D24" s="18">
        <f t="shared" si="1"/>
        <v>187.52099999999999</v>
      </c>
      <c r="E24" s="19">
        <f t="shared" si="1"/>
        <v>0</v>
      </c>
      <c r="F24" s="19">
        <f t="shared" si="1"/>
        <v>0</v>
      </c>
      <c r="G24" s="19">
        <f t="shared" si="1"/>
        <v>0</v>
      </c>
      <c r="H24" s="20">
        <f>[20]!РаскрытиеПрочиеВН</f>
        <v>187.52099999999999</v>
      </c>
      <c r="I24" s="21">
        <f>[20]!РаскрытиеПрочиеСН1</f>
        <v>0</v>
      </c>
      <c r="J24" s="21">
        <f>[20]!РаскрытиеПрочиеСН2</f>
        <v>0</v>
      </c>
      <c r="K24" s="21">
        <f>[20]!РаскрытиеПрочиеНН</f>
        <v>0</v>
      </c>
      <c r="L24" s="21">
        <f>[20]!РаскрытиеПотериВН</f>
        <v>0</v>
      </c>
      <c r="M24" s="21">
        <f>[20]!РаскрытиеПотериСН1</f>
        <v>0</v>
      </c>
      <c r="N24" s="21">
        <f>[20]!РаскрытиеПотериСН2</f>
        <v>0</v>
      </c>
      <c r="O24" s="21">
        <f>[20]!РаскрытиеПотериНН</f>
        <v>0</v>
      </c>
      <c r="P24" s="21">
        <f>'[20]Информация для отчётов'!$D$5</f>
        <v>0</v>
      </c>
      <c r="Q24" s="21">
        <f>[20]!РаскрытиеНаселениеСН1</f>
        <v>0</v>
      </c>
      <c r="R24" s="21">
        <f>[20]!РаскрытиеНаселениеСН2</f>
        <v>0</v>
      </c>
      <c r="S24" s="21">
        <f>[20]!РаскрытиеНаселениеНН</f>
        <v>0</v>
      </c>
    </row>
    <row r="25" spans="1:19" s="30" customFormat="1" ht="25.5" customHeight="1">
      <c r="A25" s="7">
        <f t="shared" si="2"/>
        <v>20</v>
      </c>
      <c r="B25" s="22" t="s">
        <v>32</v>
      </c>
      <c r="C25" s="9">
        <f t="shared" si="0"/>
        <v>769.76599999999985</v>
      </c>
      <c r="D25" s="13">
        <f t="shared" si="1"/>
        <v>0</v>
      </c>
      <c r="E25" s="10">
        <f>SUM(I25+M25+Q25)</f>
        <v>34.036999999999999</v>
      </c>
      <c r="F25" s="10">
        <f t="shared" si="1"/>
        <v>365.35499999999996</v>
      </c>
      <c r="G25" s="10">
        <f t="shared" si="1"/>
        <v>370.37399999999997</v>
      </c>
      <c r="H25" s="12">
        <f>[21]!РаскрытиеПрочиеВН</f>
        <v>0</v>
      </c>
      <c r="I25" s="12">
        <f>[21]!РаскрытиеПрочиеСН1</f>
        <v>0</v>
      </c>
      <c r="J25" s="11">
        <f>[21]!РаскрытиеПрочиеСН2</f>
        <v>129.78999999999996</v>
      </c>
      <c r="K25" s="11">
        <f>[21]!РаскрытиеПрочиеНН</f>
        <v>103.40399999999994</v>
      </c>
      <c r="L25" s="12">
        <f>[21]!РаскрытиеПотериВН</f>
        <v>0</v>
      </c>
      <c r="M25" s="11">
        <f>'[2]04'!$F$70</f>
        <v>34.036999999999999</v>
      </c>
      <c r="N25" s="12">
        <f>[21]!РаскрытиеПотериСН2</f>
        <v>0</v>
      </c>
      <c r="O25" s="12">
        <f>[21]!РаскрытиеПотериНН</f>
        <v>0</v>
      </c>
      <c r="P25" s="12">
        <f>[21]!РаскрытиеНаселениеВН</f>
        <v>0</v>
      </c>
      <c r="Q25" s="12">
        <f>[21]!РаскрытиеНаселениеСН1</f>
        <v>0</v>
      </c>
      <c r="R25" s="11">
        <f>[21]!РаскрытиеНаселениеСН2</f>
        <v>235.565</v>
      </c>
      <c r="S25" s="11">
        <f>[21]!РаскрытиеНаселениеНН</f>
        <v>266.97000000000003</v>
      </c>
    </row>
    <row r="26" spans="1:19" s="30" customFormat="1" ht="25.5" customHeight="1">
      <c r="A26" s="15">
        <f t="shared" si="2"/>
        <v>21</v>
      </c>
      <c r="B26" s="23" t="s">
        <v>33</v>
      </c>
      <c r="C26" s="17">
        <f t="shared" si="0"/>
        <v>619.52099999999996</v>
      </c>
      <c r="D26" s="18">
        <f t="shared" si="1"/>
        <v>336.05099999999999</v>
      </c>
      <c r="E26" s="19">
        <f t="shared" si="1"/>
        <v>0</v>
      </c>
      <c r="F26" s="18">
        <f t="shared" si="1"/>
        <v>243.33400000000003</v>
      </c>
      <c r="G26" s="18">
        <f t="shared" si="1"/>
        <v>40.135999999999996</v>
      </c>
      <c r="H26" s="20">
        <f>[22]!РаскрытиеПрочиеВН</f>
        <v>336.05099999999999</v>
      </c>
      <c r="I26" s="21">
        <f>[22]!РаскрытиеПрочиеСН1</f>
        <v>0</v>
      </c>
      <c r="J26" s="20">
        <f>[22]!РаскрытиеПрочиеСН2</f>
        <v>243.33400000000003</v>
      </c>
      <c r="K26" s="20">
        <f>[22]!РаскрытиеПрочиеНН</f>
        <v>40.135999999999996</v>
      </c>
      <c r="L26" s="21">
        <f>[22]!РаскрытиеПотериВН</f>
        <v>0</v>
      </c>
      <c r="M26" s="21">
        <f>[22]!РаскрытиеПотериСН1</f>
        <v>0</v>
      </c>
      <c r="N26" s="21">
        <f>[22]!РаскрытиеПотериСН2</f>
        <v>0</v>
      </c>
      <c r="O26" s="21">
        <f>[22]!РаскрытиеПотериНН</f>
        <v>0</v>
      </c>
      <c r="P26" s="21">
        <f>[22]!РаскрытиеНаселениеВН</f>
        <v>0</v>
      </c>
      <c r="Q26" s="21">
        <f>[22]!РаскрытиеНаселениеСН1</f>
        <v>0</v>
      </c>
      <c r="R26" s="21">
        <f>[22]!РаскрытиеНаселениеСН2</f>
        <v>0</v>
      </c>
      <c r="S26" s="21">
        <f>[22]!РаскрытиеНаселениеНН</f>
        <v>0</v>
      </c>
    </row>
    <row r="27" spans="1:19" s="30" customFormat="1" ht="25.5" customHeight="1">
      <c r="A27" s="15">
        <f t="shared" si="2"/>
        <v>22</v>
      </c>
      <c r="B27" s="23" t="s">
        <v>34</v>
      </c>
      <c r="C27" s="17">
        <f t="shared" si="0"/>
        <v>890.80600000000004</v>
      </c>
      <c r="D27" s="18">
        <f>SUM(H27+L27+P27)</f>
        <v>494.00700000000001</v>
      </c>
      <c r="E27" s="18">
        <f>SUM(I27+M27+Q27)</f>
        <v>0</v>
      </c>
      <c r="F27" s="18">
        <f>SUM(J27+N27+R27)</f>
        <v>352.62700000000001</v>
      </c>
      <c r="G27" s="18">
        <f>SUM(K27+O27+S27)</f>
        <v>44.172000000000011</v>
      </c>
      <c r="H27" s="20">
        <f>[23]!РаскрытиеПрочиеВН</f>
        <v>494.00700000000001</v>
      </c>
      <c r="I27" s="20">
        <f>[23]!РаскрытиеПрочиеСН1</f>
        <v>0</v>
      </c>
      <c r="J27" s="20">
        <f>[23]!РаскрытиеПрочиеСН2</f>
        <v>286.71300000000002</v>
      </c>
      <c r="K27" s="20">
        <f>[23]!РаскрытиеПрочиеНН</f>
        <v>5.1900000000000119</v>
      </c>
      <c r="L27" s="21">
        <v>0</v>
      </c>
      <c r="M27" s="21">
        <v>0</v>
      </c>
      <c r="N27" s="21">
        <v>0</v>
      </c>
      <c r="O27" s="21">
        <v>0</v>
      </c>
      <c r="P27" s="21">
        <f>[23]!РаскрытиеНаселениеВН</f>
        <v>0</v>
      </c>
      <c r="Q27" s="21">
        <f>[23]!РаскрытиеНаселениеСН1</f>
        <v>0</v>
      </c>
      <c r="R27" s="20">
        <f>[23]!РаскрытиеНаселениеСН2</f>
        <v>65.914000000000001</v>
      </c>
      <c r="S27" s="20">
        <f>[23]!РаскрытиеНаселениеНН</f>
        <v>38.981999999999999</v>
      </c>
    </row>
    <row r="28" spans="1:19" s="30" customFormat="1" ht="25.5" customHeight="1">
      <c r="A28" s="15">
        <f t="shared" si="2"/>
        <v>23</v>
      </c>
      <c r="B28" s="31" t="s">
        <v>35</v>
      </c>
      <c r="C28" s="26">
        <f>SUM(D28:G28)</f>
        <v>1054.2239999999999</v>
      </c>
      <c r="D28" s="27">
        <f t="shared" ref="D28:G41" si="3">SUM(H28+L28+P28)</f>
        <v>1054.038</v>
      </c>
      <c r="E28" s="32">
        <f t="shared" si="3"/>
        <v>0</v>
      </c>
      <c r="F28" s="27">
        <f t="shared" ref="F28:F33" si="4">SUM(J28+N28+R28)</f>
        <v>0</v>
      </c>
      <c r="G28" s="27">
        <f t="shared" ref="G28:G33" si="5">SUM(K28+O28+S28)</f>
        <v>0.186</v>
      </c>
      <c r="H28" s="28">
        <f>[24]!РаскрытиеПрочиеВН</f>
        <v>1054.038</v>
      </c>
      <c r="I28" s="29">
        <f>[24]!РаскрытиеПрочиеСН1</f>
        <v>0</v>
      </c>
      <c r="J28" s="28">
        <f>[24]!РаскрытиеПрочиеСН2</f>
        <v>0</v>
      </c>
      <c r="K28" s="28">
        <f>[24]!РаскрытиеПрочиеНН</f>
        <v>0.186</v>
      </c>
      <c r="L28" s="29">
        <f>[24]!РаскрытиеПотериВН</f>
        <v>0</v>
      </c>
      <c r="M28" s="29">
        <f>[24]!РаскрытиеПотериСН1</f>
        <v>0</v>
      </c>
      <c r="N28" s="29">
        <f>[24]!РаскрытиеПотериСН2</f>
        <v>0</v>
      </c>
      <c r="O28" s="29">
        <f>[24]!РаскрытиеПотериНН</f>
        <v>0</v>
      </c>
      <c r="P28" s="29">
        <f>[24]!РаскрытиеНаселениеВН</f>
        <v>0</v>
      </c>
      <c r="Q28" s="29">
        <f>[24]!РаскрытиеНаселениеСН1</f>
        <v>0</v>
      </c>
      <c r="R28" s="29">
        <f>[24]!РаскрытиеНаселениеСН2</f>
        <v>0</v>
      </c>
      <c r="S28" s="29">
        <f>[24]!РаскрытиеНаселениеНН</f>
        <v>0</v>
      </c>
    </row>
    <row r="29" spans="1:19" s="30" customFormat="1" ht="25.5" customHeight="1">
      <c r="A29" s="7">
        <f t="shared" si="2"/>
        <v>24</v>
      </c>
      <c r="B29" s="22" t="str">
        <f>[19]проверка!A66</f>
        <v>ОАО "ССП "Уралсибгидромеханизация"</v>
      </c>
      <c r="C29" s="33">
        <f t="shared" si="0"/>
        <v>76.664999999999992</v>
      </c>
      <c r="D29" s="7">
        <f t="shared" si="3"/>
        <v>0</v>
      </c>
      <c r="E29" s="7">
        <f t="shared" si="3"/>
        <v>0</v>
      </c>
      <c r="F29" s="7">
        <f t="shared" si="4"/>
        <v>76.664999999999992</v>
      </c>
      <c r="G29" s="7">
        <f t="shared" si="5"/>
        <v>0</v>
      </c>
      <c r="H29" s="7">
        <f>[25]!РаскрытиеПрочиеВН</f>
        <v>0</v>
      </c>
      <c r="I29" s="7">
        <f>[25]!РаскрытиеПрочиеСН1</f>
        <v>0</v>
      </c>
      <c r="J29" s="7">
        <f>[25]!РаскрытиеПрочиеСН2</f>
        <v>75.254999999999995</v>
      </c>
      <c r="K29" s="7">
        <f>[25]!РаскрытиеПрочиеНН</f>
        <v>0</v>
      </c>
      <c r="L29" s="7">
        <f>[25]!РаскрытиеПотериВН</f>
        <v>0</v>
      </c>
      <c r="M29" s="7">
        <f>[25]!РаскрытиеПотериСН1</f>
        <v>0</v>
      </c>
      <c r="N29" s="7">
        <f>'[2]04'!$F$91</f>
        <v>1.41</v>
      </c>
      <c r="O29" s="7">
        <f>[25]!РаскрытиеПотериНН</f>
        <v>0</v>
      </c>
      <c r="P29" s="7">
        <f>[25]!РаскрытиеНаселениеВН</f>
        <v>0</v>
      </c>
      <c r="Q29" s="7">
        <f>[25]!РаскрытиеНаселениеСН1</f>
        <v>0</v>
      </c>
      <c r="R29" s="7">
        <f>[25]!РаскрытиеНаселениеСН2</f>
        <v>0</v>
      </c>
      <c r="S29" s="7">
        <f>[25]!РаскрытиеНаселениеНН</f>
        <v>0</v>
      </c>
    </row>
    <row r="30" spans="1:19" s="30" customFormat="1" ht="25.5" customHeight="1">
      <c r="A30" s="15">
        <f t="shared" si="2"/>
        <v>25</v>
      </c>
      <c r="B30" s="31" t="s">
        <v>36</v>
      </c>
      <c r="C30" s="26">
        <f t="shared" si="0"/>
        <v>201.76999999999998</v>
      </c>
      <c r="D30" s="27">
        <f t="shared" si="3"/>
        <v>104.91499999999999</v>
      </c>
      <c r="E30" s="32">
        <f t="shared" si="3"/>
        <v>0</v>
      </c>
      <c r="F30" s="27">
        <f t="shared" si="4"/>
        <v>96.073999999999998</v>
      </c>
      <c r="G30" s="27">
        <f t="shared" si="5"/>
        <v>0.78099999999999992</v>
      </c>
      <c r="H30" s="28">
        <f>[26]!РаскрытиеПрочиеВН</f>
        <v>104.91499999999999</v>
      </c>
      <c r="I30" s="28">
        <f>[26]!РаскрытиеПрочиеСН1</f>
        <v>0</v>
      </c>
      <c r="J30" s="28">
        <f>[26]!РаскрытиеПрочиеСН2</f>
        <v>88.953999999999994</v>
      </c>
      <c r="K30" s="28">
        <f>[26]!РаскрытиеПрочиеНН</f>
        <v>0.78099999999999992</v>
      </c>
      <c r="L30" s="29">
        <f>[26]!РаскрытиеПотериВН</f>
        <v>0</v>
      </c>
      <c r="M30" s="29">
        <f>[26]!РаскрытиеПотериСН1</f>
        <v>0</v>
      </c>
      <c r="N30" s="29">
        <f>[26]!РаскрытиеПотериСН2</f>
        <v>0</v>
      </c>
      <c r="O30" s="29">
        <f>[26]!РаскрытиеПотериНН</f>
        <v>0</v>
      </c>
      <c r="P30" s="29">
        <f>[26]!РаскрытиеНаселениеВН</f>
        <v>0</v>
      </c>
      <c r="Q30" s="29">
        <f>[26]!РаскрытиеНаселениеСН1</f>
        <v>0</v>
      </c>
      <c r="R30" s="28">
        <f>[26]!РаскрытиеНаселениеСН2</f>
        <v>7.1199999999999992</v>
      </c>
      <c r="S30" s="29">
        <f>[26]!РаскрытиеНаселениеНН</f>
        <v>0</v>
      </c>
    </row>
    <row r="31" spans="1:19" s="30" customFormat="1" ht="25.5" customHeight="1">
      <c r="A31" s="7">
        <f t="shared" si="2"/>
        <v>26</v>
      </c>
      <c r="B31" s="22" t="s">
        <v>37</v>
      </c>
      <c r="C31" s="33">
        <f t="shared" si="0"/>
        <v>334.04599999999999</v>
      </c>
      <c r="D31" s="7">
        <f t="shared" si="3"/>
        <v>115.773</v>
      </c>
      <c r="E31" s="7">
        <f t="shared" si="3"/>
        <v>0</v>
      </c>
      <c r="F31" s="7">
        <f t="shared" si="4"/>
        <v>121.233</v>
      </c>
      <c r="G31" s="7">
        <f t="shared" si="5"/>
        <v>97.04</v>
      </c>
      <c r="H31" s="7">
        <f>[27]!РаскрытиеПрочиеВН</f>
        <v>99.905000000000001</v>
      </c>
      <c r="I31" s="7">
        <f>[27]!РаскрытиеПрочиеСН1</f>
        <v>0</v>
      </c>
      <c r="J31" s="7">
        <f>[27]!РаскрытиеПрочиеСН2</f>
        <v>121.233</v>
      </c>
      <c r="K31" s="7">
        <f>[27]!РаскрытиеПрочиеНН</f>
        <v>97.04</v>
      </c>
      <c r="L31" s="7">
        <f>'[2]04'!$F$35</f>
        <v>15.868</v>
      </c>
      <c r="M31" s="7">
        <f>[27]!РаскрытиеПотериСН1</f>
        <v>0</v>
      </c>
      <c r="N31" s="7">
        <f>[27]!РаскрытиеПотериСН2</f>
        <v>0</v>
      </c>
      <c r="O31" s="7">
        <f>[27]!РаскрытиеПотериНН</f>
        <v>0</v>
      </c>
      <c r="P31" s="7">
        <f>[27]!РаскрытиеНаселениеВН</f>
        <v>0</v>
      </c>
      <c r="Q31" s="7">
        <f>[27]!РаскрытиеНаселениеСН1</f>
        <v>0</v>
      </c>
      <c r="R31" s="7">
        <f>[27]!РаскрытиеНаселениеСН2</f>
        <v>0</v>
      </c>
      <c r="S31" s="7">
        <f>[27]!РаскрытиеНаселениеНН</f>
        <v>0</v>
      </c>
    </row>
    <row r="32" spans="1:19" s="30" customFormat="1" ht="25.5" customHeight="1">
      <c r="A32" s="7">
        <f t="shared" si="2"/>
        <v>27</v>
      </c>
      <c r="B32" s="22" t="str">
        <f>[19]проверка!A51</f>
        <v>ООО "ЭФЕС"</v>
      </c>
      <c r="C32" s="33">
        <f>SUM(D32:G32)</f>
        <v>303.274</v>
      </c>
      <c r="D32" s="7">
        <f t="shared" si="3"/>
        <v>0</v>
      </c>
      <c r="E32" s="7">
        <f t="shared" si="3"/>
        <v>0</v>
      </c>
      <c r="F32" s="7">
        <f>SUM(J32+N32+R32)</f>
        <v>112.99199999999999</v>
      </c>
      <c r="G32" s="7">
        <f t="shared" si="5"/>
        <v>190.28200000000001</v>
      </c>
      <c r="H32" s="7">
        <f>[28]!РаскрытиеПрочиеВН</f>
        <v>0</v>
      </c>
      <c r="I32" s="7">
        <f>[28]!РаскрытиеПрочиеСН1</f>
        <v>0</v>
      </c>
      <c r="J32" s="7">
        <f>[28]!РаскрытиеПрочиеСН2</f>
        <v>40.445</v>
      </c>
      <c r="K32" s="7">
        <f>[28]!РаскрытиеПрочиеНН</f>
        <v>18.626000000000005</v>
      </c>
      <c r="L32" s="7">
        <f>[28]!РаскрытиеПотериВН</f>
        <v>0</v>
      </c>
      <c r="M32" s="7">
        <f>[28]!РаскрытиеПотериСН1</f>
        <v>0</v>
      </c>
      <c r="N32" s="7">
        <f>'[2]04'!$F$28</f>
        <v>8.8789999999999996</v>
      </c>
      <c r="O32" s="7">
        <f>[28]!РаскрытиеПотериНН</f>
        <v>0</v>
      </c>
      <c r="P32" s="7">
        <f>'[28]Информация для отчётов'!$D$5</f>
        <v>0</v>
      </c>
      <c r="Q32" s="7">
        <f>[28]!РаскрытиеНаселениеСН1</f>
        <v>0</v>
      </c>
      <c r="R32" s="7">
        <f>[28]!РаскрытиеНаселениеСН2</f>
        <v>63.667999999999999</v>
      </c>
      <c r="S32" s="7">
        <f>'[28]Информация для отчётов'!$G$5</f>
        <v>171.65600000000001</v>
      </c>
    </row>
    <row r="33" spans="1:19" s="30" customFormat="1" ht="25.5" customHeight="1">
      <c r="A33" s="7">
        <f t="shared" si="2"/>
        <v>28</v>
      </c>
      <c r="B33" s="22" t="s">
        <v>38</v>
      </c>
      <c r="C33" s="33">
        <f t="shared" si="0"/>
        <v>530.23099999999988</v>
      </c>
      <c r="D33" s="7">
        <f t="shared" si="3"/>
        <v>0</v>
      </c>
      <c r="E33" s="7">
        <f t="shared" si="3"/>
        <v>0</v>
      </c>
      <c r="F33" s="7">
        <f t="shared" si="4"/>
        <v>7.9000000000000001E-2</v>
      </c>
      <c r="G33" s="7">
        <f t="shared" si="5"/>
        <v>530.15199999999993</v>
      </c>
      <c r="H33" s="7">
        <f>[29]!РаскрытиеПрочиеВН</f>
        <v>0</v>
      </c>
      <c r="I33" s="7">
        <f>[29]!РаскрытиеПрочиеСН1</f>
        <v>0</v>
      </c>
      <c r="J33" s="7">
        <f>[29]!РаскрытиеПрочиеСН2</f>
        <v>0</v>
      </c>
      <c r="K33" s="7">
        <f>[29]!РаскрытиеПрочиеНН</f>
        <v>185.50499999999988</v>
      </c>
      <c r="L33" s="7">
        <v>0</v>
      </c>
      <c r="M33" s="7">
        <v>0</v>
      </c>
      <c r="N33" s="34">
        <f>'[2]04'!$F$98</f>
        <v>7.9000000000000001E-2</v>
      </c>
      <c r="O33" s="7">
        <v>0</v>
      </c>
      <c r="P33" s="7">
        <f>[29]!РаскрытиеНаселениеВН</f>
        <v>0</v>
      </c>
      <c r="Q33" s="7">
        <f>[29]!РаскрытиеНаселениеСН1</f>
        <v>0</v>
      </c>
      <c r="R33" s="7">
        <f>[29]!РаскрытиеНаселениеСН2</f>
        <v>0</v>
      </c>
      <c r="S33" s="7">
        <f>[29]!РаскрытиеНаселениеНН</f>
        <v>344.64700000000005</v>
      </c>
    </row>
    <row r="34" spans="1:19" s="30" customFormat="1" ht="25.5" customHeight="1">
      <c r="A34" s="24">
        <f t="shared" si="2"/>
        <v>29</v>
      </c>
      <c r="B34" s="25" t="str">
        <f>[19]проверка!A83</f>
        <v>ФГУП "Строительное управление Уральского военного округа"</v>
      </c>
      <c r="C34" s="35">
        <f>SUM(D34:G34)</f>
        <v>1031.2139999999999</v>
      </c>
      <c r="D34" s="24">
        <f t="shared" si="3"/>
        <v>0</v>
      </c>
      <c r="E34" s="24">
        <f t="shared" si="3"/>
        <v>753.78599999999994</v>
      </c>
      <c r="F34" s="24">
        <f t="shared" si="3"/>
        <v>116.04300000000001</v>
      </c>
      <c r="G34" s="24">
        <f t="shared" si="3"/>
        <v>161.38499999999999</v>
      </c>
      <c r="H34" s="24">
        <f>[30]!РаскрытиеПрочиеВН</f>
        <v>0</v>
      </c>
      <c r="I34" s="24">
        <f>[30]!РаскрытиеПрочиеСН1</f>
        <v>730.4609999999999</v>
      </c>
      <c r="J34" s="24">
        <f>[30]!РаскрытиеПрочиеСН2</f>
        <v>116.04300000000001</v>
      </c>
      <c r="K34" s="24">
        <f>[30]!РаскрытиеПрочиеНН</f>
        <v>14.897999999999968</v>
      </c>
      <c r="L34" s="24">
        <f>[30]!РаскрытиеПотериВН</f>
        <v>0</v>
      </c>
      <c r="M34" s="24">
        <f>[30]!РаскрытиеПотериСН1</f>
        <v>0</v>
      </c>
      <c r="N34" s="24">
        <f>[30]!РаскрытиеПотериСН2</f>
        <v>0</v>
      </c>
      <c r="O34" s="24">
        <f>[30]!РаскрытиеПотериНН</f>
        <v>0</v>
      </c>
      <c r="P34" s="24">
        <f>[30]!РаскрытиеНаселениеВН</f>
        <v>0</v>
      </c>
      <c r="Q34" s="24">
        <f>[30]!РаскрытиеНаселениеСН1</f>
        <v>23.325000000000003</v>
      </c>
      <c r="R34" s="24">
        <f>[30]!РаскрытиеНаселениеСН2</f>
        <v>0</v>
      </c>
      <c r="S34" s="24">
        <f>[30]!РаскрытиеНаселениеНН</f>
        <v>146.48700000000002</v>
      </c>
    </row>
    <row r="35" spans="1:19" s="30" customFormat="1" ht="25.5" customHeight="1">
      <c r="A35" s="7">
        <f t="shared" si="2"/>
        <v>30</v>
      </c>
      <c r="B35" s="22" t="s">
        <v>39</v>
      </c>
      <c r="C35" s="33">
        <f>SUM(D35:G35)</f>
        <v>854.50099999999998</v>
      </c>
      <c r="D35" s="7">
        <f t="shared" si="3"/>
        <v>590.70799999999997</v>
      </c>
      <c r="E35" s="7">
        <f t="shared" si="3"/>
        <v>0</v>
      </c>
      <c r="F35" s="7">
        <f t="shared" si="3"/>
        <v>225.84300000000002</v>
      </c>
      <c r="G35" s="7">
        <f t="shared" si="3"/>
        <v>37.950000000000003</v>
      </c>
      <c r="H35" s="7">
        <f>[31]!РаскрытиеПрочиеВН</f>
        <v>561.27300000000002</v>
      </c>
      <c r="I35" s="7">
        <f>[31]!РаскрытиеПрочиеСН1</f>
        <v>0</v>
      </c>
      <c r="J35" s="7">
        <f>[31]!РаскрытиеПрочиеСН2</f>
        <v>212.50200000000001</v>
      </c>
      <c r="K35" s="7">
        <f>[31]!РаскрытиеПрочиеНН</f>
        <v>37.950000000000003</v>
      </c>
      <c r="L35" s="7">
        <f>'[2]04'!$F$86</f>
        <v>29.434999999999999</v>
      </c>
      <c r="M35" s="7">
        <v>0</v>
      </c>
      <c r="N35" s="36">
        <f>[31]!РаскрытиеПотериСН2</f>
        <v>0</v>
      </c>
      <c r="O35" s="7">
        <f>[31]!РаскрытиеПотериНН</f>
        <v>0</v>
      </c>
      <c r="P35" s="7">
        <f>'[31]Информация для отчётов'!$D$5</f>
        <v>0</v>
      </c>
      <c r="Q35" s="7">
        <f>[31]!РаскрытиеНаселениеСН1</f>
        <v>0</v>
      </c>
      <c r="R35" s="7">
        <f>[31]!РаскрытиеНаселениеСН2</f>
        <v>13.341000000000001</v>
      </c>
      <c r="S35" s="7">
        <f>'[31]Информация для отчётов'!$G$5</f>
        <v>0</v>
      </c>
    </row>
    <row r="36" spans="1:19" s="30" customFormat="1" ht="25.5" customHeight="1">
      <c r="A36" s="7">
        <f t="shared" si="2"/>
        <v>31</v>
      </c>
      <c r="B36" s="22" t="str">
        <f>[19]проверка!A84</f>
        <v>ЗАО "Уральские электрические сети"</v>
      </c>
      <c r="C36" s="33">
        <f>SUM(D36:G36)</f>
        <v>1405.8260000000002</v>
      </c>
      <c r="D36" s="7">
        <f t="shared" si="3"/>
        <v>0</v>
      </c>
      <c r="E36" s="7">
        <f t="shared" si="3"/>
        <v>0</v>
      </c>
      <c r="F36" s="7">
        <f t="shared" si="3"/>
        <v>1397.6560000000002</v>
      </c>
      <c r="G36" s="7">
        <f t="shared" si="3"/>
        <v>8.17</v>
      </c>
      <c r="H36" s="7">
        <f>[32]!РаскрытиеПрочиеВН</f>
        <v>0</v>
      </c>
      <c r="I36" s="7">
        <f>[32]!РаскрытиеПрочиеСН1</f>
        <v>0</v>
      </c>
      <c r="J36" s="7">
        <f>[32]!РаскрытиеПрочиеСН2</f>
        <v>1382.5720000000001</v>
      </c>
      <c r="K36" s="7">
        <f>[32]!РаскрытиеПрочиеНН</f>
        <v>8.17</v>
      </c>
      <c r="L36" s="7">
        <f>[32]!РаскрытиеПотериВН</f>
        <v>0</v>
      </c>
      <c r="M36" s="7">
        <f>[32]!РаскрытиеПотериСН1</f>
        <v>0</v>
      </c>
      <c r="N36" s="7">
        <f>'[2]04'!$F$147</f>
        <v>15.084</v>
      </c>
      <c r="O36" s="7">
        <f>[32]!РаскрытиеПотериНН</f>
        <v>0</v>
      </c>
      <c r="P36" s="7">
        <f>[32]!РаскрытиеНаселениеВН</f>
        <v>0</v>
      </c>
      <c r="Q36" s="7">
        <f>[32]!РаскрытиеНаселениеСН1</f>
        <v>0</v>
      </c>
      <c r="R36" s="7">
        <f>[32]!РаскрытиеНаселениеСН2</f>
        <v>0</v>
      </c>
      <c r="S36" s="7">
        <f>[32]!РаскрытиеНаселениеНН</f>
        <v>0</v>
      </c>
    </row>
    <row r="37" spans="1:19" s="30" customFormat="1" ht="25.5" customHeight="1">
      <c r="A37" s="24">
        <f t="shared" si="2"/>
        <v>32</v>
      </c>
      <c r="B37" s="25" t="s">
        <v>40</v>
      </c>
      <c r="C37" s="37">
        <f t="shared" si="0"/>
        <v>1350.1189999999999</v>
      </c>
      <c r="D37" s="38">
        <f>SUM(H37+L37+P37)-0.001</f>
        <v>1122.1389999999999</v>
      </c>
      <c r="E37" s="24">
        <f t="shared" si="3"/>
        <v>0</v>
      </c>
      <c r="F37" s="24">
        <f t="shared" si="3"/>
        <v>217.99699999999999</v>
      </c>
      <c r="G37" s="24">
        <f t="shared" si="3"/>
        <v>9.9830000000000005</v>
      </c>
      <c r="H37" s="39">
        <f>[33]!РаскрытиеПрочиеВН</f>
        <v>1122.1400000000001</v>
      </c>
      <c r="I37" s="24">
        <f>[33]!РаскрытиеПрочиеСН1</f>
        <v>0</v>
      </c>
      <c r="J37" s="24">
        <f>[33]!РаскрытиеПрочиеСН2</f>
        <v>217.99699999999999</v>
      </c>
      <c r="K37" s="24">
        <f>[33]!РаскрытиеПрочиеНН</f>
        <v>9.9830000000000005</v>
      </c>
      <c r="L37" s="40">
        <f>[33]!РаскрытиеПотериВН</f>
        <v>-2.2737367544323206E-13</v>
      </c>
      <c r="M37" s="24">
        <f>[33]!РаскрытиеПотериСН1</f>
        <v>0</v>
      </c>
      <c r="N37" s="24">
        <f>[33]!РаскрытиеПотериСН2</f>
        <v>0</v>
      </c>
      <c r="O37" s="24">
        <f>[33]!РаскрытиеПотериНН</f>
        <v>0</v>
      </c>
      <c r="P37" s="24">
        <f>[33]!РаскрытиеНаселениеВН</f>
        <v>0</v>
      </c>
      <c r="Q37" s="24">
        <f>[33]!РаскрытиеНаселениеСН1</f>
        <v>0</v>
      </c>
      <c r="R37" s="24">
        <f>[33]!РаскрытиеНаселениеСН2</f>
        <v>0</v>
      </c>
      <c r="S37" s="24">
        <f>[33]!РаскрытиеНаселениеНН</f>
        <v>0</v>
      </c>
    </row>
    <row r="38" spans="1:19" s="30" customFormat="1" ht="25.5" customHeight="1">
      <c r="A38" s="7">
        <f t="shared" si="2"/>
        <v>33</v>
      </c>
      <c r="B38" s="22" t="s">
        <v>41</v>
      </c>
      <c r="C38" s="7">
        <f>SUM(D38:G38)</f>
        <v>1595.9690000000001</v>
      </c>
      <c r="D38" s="7">
        <f>SUM(H38+L38+P38)</f>
        <v>58.033999999999999</v>
      </c>
      <c r="E38" s="7">
        <f t="shared" si="3"/>
        <v>0</v>
      </c>
      <c r="F38" s="7">
        <f t="shared" si="3"/>
        <v>1424.2380000000001</v>
      </c>
      <c r="G38" s="7">
        <f t="shared" si="3"/>
        <v>113.69699999999999</v>
      </c>
      <c r="H38" s="7">
        <f>[34]!РаскрытиеПрочиеВН</f>
        <v>0</v>
      </c>
      <c r="I38" s="7">
        <f>[34]!РаскрытиеПрочиеСН1</f>
        <v>0</v>
      </c>
      <c r="J38" s="7">
        <f>[34]!РаскрытиеПрочиеСН2</f>
        <v>986.6400000000001</v>
      </c>
      <c r="K38" s="7">
        <f>[34]!РаскрытиеПрочиеНН</f>
        <v>113.69699999999999</v>
      </c>
      <c r="L38" s="7">
        <f>'[2]04'!$F$163</f>
        <v>58.033999999999999</v>
      </c>
      <c r="M38" s="7">
        <f>[34]!РаскрытиеПотериСН1</f>
        <v>0</v>
      </c>
      <c r="N38" s="7">
        <f>[34]!РаскрытиеПотериСН2</f>
        <v>0</v>
      </c>
      <c r="O38" s="7">
        <f>[34]!РаскрытиеПотериНН</f>
        <v>0</v>
      </c>
      <c r="P38" s="7">
        <f>[34]!РаскрытиеНаселениеВН</f>
        <v>0</v>
      </c>
      <c r="Q38" s="7">
        <f>[34]!РаскрытиеНаселениеСН1</f>
        <v>0</v>
      </c>
      <c r="R38" s="7">
        <f>[34]!РаскрытиеНаселениеСН2</f>
        <v>437.59800000000001</v>
      </c>
      <c r="S38" s="7">
        <f>[34]!РаскрытиеНаселениеНН</f>
        <v>0</v>
      </c>
    </row>
    <row r="39" spans="1:19" s="30" customFormat="1" ht="25.5" customHeight="1">
      <c r="A39" s="24">
        <f t="shared" si="2"/>
        <v>34</v>
      </c>
      <c r="B39" s="25" t="s">
        <v>42</v>
      </c>
      <c r="C39" s="24">
        <f>SUM(D39:G39)</f>
        <v>2417.569</v>
      </c>
      <c r="D39" s="24">
        <f>SUM(H39+L39+P39)</f>
        <v>0</v>
      </c>
      <c r="E39" s="24">
        <f t="shared" si="3"/>
        <v>204.304</v>
      </c>
      <c r="F39" s="24">
        <f t="shared" si="3"/>
        <v>1968.5809999999997</v>
      </c>
      <c r="G39" s="24">
        <f t="shared" si="3"/>
        <v>244.684</v>
      </c>
      <c r="H39" s="24">
        <f>[35]!РаскрытиеПрочиеВН</f>
        <v>0</v>
      </c>
      <c r="I39" s="24">
        <f>[35]!РаскрытиеПрочиеСН1</f>
        <v>204.304</v>
      </c>
      <c r="J39" s="24">
        <f>[35]!РаскрытиеПрочиеСН2</f>
        <v>1688.5659999999998</v>
      </c>
      <c r="K39" s="24">
        <f>[35]!РаскрытиеПрочиеНН</f>
        <v>95.950000000000017</v>
      </c>
      <c r="L39" s="24">
        <f>[35]!РаскрытиеПотериВН</f>
        <v>0</v>
      </c>
      <c r="M39" s="24">
        <f>[35]!РаскрытиеПотериСН1</f>
        <v>0</v>
      </c>
      <c r="N39" s="24">
        <f>[35]!РаскрытиеПотериСН2</f>
        <v>0</v>
      </c>
      <c r="O39" s="24">
        <f>[35]!РаскрытиеПотериНН</f>
        <v>0</v>
      </c>
      <c r="P39" s="24">
        <f>[35]!РаскрытиеНаселениеВН</f>
        <v>0</v>
      </c>
      <c r="Q39" s="24">
        <f>[35]!РаскрытиеНаселениеСН1</f>
        <v>0</v>
      </c>
      <c r="R39" s="24">
        <f>[35]!РаскрытиеНаселениеСН2</f>
        <v>280.01499999999999</v>
      </c>
      <c r="S39" s="24">
        <f>[35]!РаскрытиеНаселениеНН</f>
        <v>148.73399999999998</v>
      </c>
    </row>
    <row r="40" spans="1:19" s="30" customFormat="1" ht="25.5" customHeight="1">
      <c r="A40" s="7">
        <f t="shared" si="2"/>
        <v>35</v>
      </c>
      <c r="B40" s="22" t="s">
        <v>43</v>
      </c>
      <c r="C40" s="7">
        <f>SUM(D40:G40)</f>
        <v>437.411</v>
      </c>
      <c r="D40" s="7">
        <f>SUM(H40+L40+P40)</f>
        <v>1.3939999999999999</v>
      </c>
      <c r="E40" s="7">
        <f t="shared" si="3"/>
        <v>0</v>
      </c>
      <c r="F40" s="7">
        <f t="shared" si="3"/>
        <v>403.88400000000001</v>
      </c>
      <c r="G40" s="7">
        <f t="shared" si="3"/>
        <v>32.133000000000003</v>
      </c>
      <c r="H40" s="7">
        <f>[36]!РаскрытиеПрочиеВН</f>
        <v>0</v>
      </c>
      <c r="I40" s="7">
        <f>[36]!РаскрытиеПрочиеСН1</f>
        <v>0</v>
      </c>
      <c r="J40" s="7">
        <f>[36]!РаскрытиеПрочиеСН2</f>
        <v>100.40600000000001</v>
      </c>
      <c r="K40" s="7">
        <f>[36]!РаскрытиеПрочиеНН</f>
        <v>1.1340000000000003</v>
      </c>
      <c r="L40" s="7">
        <f>'[2]04'!$F$49</f>
        <v>1.3939999999999999</v>
      </c>
      <c r="M40" s="7">
        <f>[36]!РаскрытиеПотериСН1</f>
        <v>0</v>
      </c>
      <c r="N40" s="7">
        <f>[36]!РаскрытиеПотериСН2</f>
        <v>0</v>
      </c>
      <c r="O40" s="7">
        <f>[36]!РаскрытиеПотериНН</f>
        <v>0</v>
      </c>
      <c r="P40" s="7">
        <f>[36]!РаскрытиеНаселениеВН</f>
        <v>0</v>
      </c>
      <c r="Q40" s="7">
        <f>[36]!РаскрытиеНаселениеСН1</f>
        <v>0</v>
      </c>
      <c r="R40" s="7">
        <f>[36]!РаскрытиеНаселениеСН2</f>
        <v>303.47800000000001</v>
      </c>
      <c r="S40" s="7">
        <f>[36]!РаскрытиеНаселениеНН</f>
        <v>30.999000000000002</v>
      </c>
    </row>
    <row r="41" spans="1:19" s="30" customFormat="1" ht="25.5" customHeight="1">
      <c r="A41" s="7">
        <f t="shared" si="2"/>
        <v>36</v>
      </c>
      <c r="B41" s="22" t="s">
        <v>44</v>
      </c>
      <c r="C41" s="7">
        <f>SUM(D41:G41)</f>
        <v>697.35699999999997</v>
      </c>
      <c r="D41" s="7">
        <f>SUM(H41+L41+P41)</f>
        <v>0</v>
      </c>
      <c r="E41" s="7">
        <f t="shared" si="3"/>
        <v>0</v>
      </c>
      <c r="F41" s="7">
        <f t="shared" si="3"/>
        <v>695.40199999999993</v>
      </c>
      <c r="G41" s="7">
        <f t="shared" si="3"/>
        <v>1.9550000000000001</v>
      </c>
      <c r="H41" s="7">
        <f>[37]!РаскрытиеПрочиеВН</f>
        <v>0</v>
      </c>
      <c r="I41" s="7">
        <f>[37]!РаскрытиеПрочиеСН1</f>
        <v>0</v>
      </c>
      <c r="J41" s="7">
        <f>[37]!РаскрытиеПрочиеСН2</f>
        <v>693.69199999999989</v>
      </c>
      <c r="K41" s="7">
        <f>[37]!РаскрытиеПрочиеНН</f>
        <v>1.9550000000000001</v>
      </c>
      <c r="L41" s="7">
        <f>[37]!РаскрытиеПотериВН</f>
        <v>0</v>
      </c>
      <c r="M41" s="7">
        <f>[37]!РаскрытиеПотериСН1</f>
        <v>0</v>
      </c>
      <c r="N41" s="7">
        <f>'[2]04'!$F$189</f>
        <v>1.71</v>
      </c>
      <c r="O41" s="7">
        <f>[37]!РаскрытиеПотериНН</f>
        <v>0</v>
      </c>
      <c r="P41" s="7">
        <f>[37]!РаскрытиеНаселениеВН</f>
        <v>0</v>
      </c>
      <c r="Q41" s="7">
        <f>[37]!РаскрытиеНаселениеСН1</f>
        <v>0</v>
      </c>
      <c r="R41" s="7">
        <f>[37]!РаскрытиеНаселениеСН2</f>
        <v>0</v>
      </c>
      <c r="S41" s="7">
        <f>[37]!РаскрытиеНаселениеНН</f>
        <v>0</v>
      </c>
    </row>
    <row r="42" spans="1:19" s="56" customFormat="1" ht="24.75" customHeight="1">
      <c r="A42" s="41"/>
      <c r="B42" s="41" t="s">
        <v>5</v>
      </c>
      <c r="C42" s="42">
        <f>SUM(C6:C41)</f>
        <v>467977.54133000004</v>
      </c>
      <c r="D42" s="42">
        <f>SUM(D6:D41)</f>
        <v>151849.54800000013</v>
      </c>
      <c r="E42" s="42">
        <f t="shared" ref="E42:S42" si="6">SUM(E6:E41)</f>
        <v>11393.631000000001</v>
      </c>
      <c r="F42" s="42">
        <f t="shared" si="6"/>
        <v>141467.77499999997</v>
      </c>
      <c r="G42" s="42">
        <f t="shared" si="6"/>
        <v>163266.58733000015</v>
      </c>
      <c r="H42" s="42">
        <f t="shared" si="6"/>
        <v>111505.505</v>
      </c>
      <c r="I42" s="42">
        <f t="shared" si="6"/>
        <v>11239.463</v>
      </c>
      <c r="J42" s="42">
        <f>SUM(J6:J41)</f>
        <v>115969.30599999994</v>
      </c>
      <c r="K42" s="42">
        <f t="shared" si="6"/>
        <v>49432.868000000082</v>
      </c>
      <c r="L42" s="42">
        <f>SUM(L6:L41)</f>
        <v>40037.205000000009</v>
      </c>
      <c r="M42" s="42">
        <f>SUM(M6:M41)</f>
        <v>94.227999999999994</v>
      </c>
      <c r="N42" s="42">
        <f>SUM(N6:N41)</f>
        <v>122.05499999999999</v>
      </c>
      <c r="O42" s="42">
        <f t="shared" si="6"/>
        <v>0</v>
      </c>
      <c r="P42" s="42">
        <f t="shared" si="6"/>
        <v>306.83799999999997</v>
      </c>
      <c r="Q42" s="42">
        <f t="shared" si="6"/>
        <v>59.940000000000005</v>
      </c>
      <c r="R42" s="42">
        <f>SUM(R6:R41)</f>
        <v>25376.414000000015</v>
      </c>
      <c r="S42" s="42">
        <f t="shared" si="6"/>
        <v>113833.71932999998</v>
      </c>
    </row>
    <row r="43" spans="1:19" s="54" customFormat="1">
      <c r="A43" s="1"/>
      <c r="B43" s="4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4"/>
    </row>
    <row r="44" spans="1:19" s="54" customFormat="1">
      <c r="A44" s="3"/>
      <c r="B44" s="4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47"/>
      <c r="O44" s="3"/>
      <c r="P44" s="3"/>
      <c r="Q44" s="3"/>
      <c r="R44" s="3"/>
      <c r="S44" s="3"/>
    </row>
    <row r="45" spans="1:19" s="54" customFormat="1">
      <c r="A45" s="3"/>
      <c r="B45" s="4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47"/>
      <c r="O45" s="3"/>
      <c r="P45" s="3"/>
      <c r="Q45" s="3"/>
      <c r="R45" s="3"/>
      <c r="S45" s="3"/>
    </row>
    <row r="46" spans="1:19" s="54" customFormat="1">
      <c r="A46" s="3"/>
      <c r="B46" s="43"/>
      <c r="C46" s="3"/>
      <c r="D46" s="45"/>
      <c r="E46" s="45"/>
      <c r="F46" s="45"/>
      <c r="G46" s="45"/>
      <c r="H46" s="45"/>
      <c r="I46" s="3"/>
      <c r="J46" s="3"/>
      <c r="K46" s="3"/>
      <c r="L46" s="3"/>
      <c r="M46" s="3"/>
      <c r="N46" s="48"/>
      <c r="O46" s="3"/>
      <c r="P46" s="3"/>
      <c r="Q46" s="3"/>
      <c r="R46" s="3"/>
      <c r="S46" s="3"/>
    </row>
    <row r="47" spans="1:19" s="54" customFormat="1">
      <c r="A47" s="3"/>
      <c r="B47" s="4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46"/>
      <c r="O47" s="3"/>
      <c r="P47" s="3"/>
      <c r="Q47" s="3"/>
      <c r="R47" s="3"/>
      <c r="S47" s="3"/>
    </row>
    <row r="48" spans="1:19" s="54" customFormat="1">
      <c r="A48" s="3"/>
      <c r="B48" s="4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46"/>
      <c r="O48" s="3"/>
      <c r="P48" s="3"/>
      <c r="Q48" s="3"/>
      <c r="R48" s="3"/>
      <c r="S48" s="3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(2)</vt:lpstr>
      <vt:lpstr>'Раскрытие информации (2)'!Область_печати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Мисюра</cp:lastModifiedBy>
  <dcterms:created xsi:type="dcterms:W3CDTF">2013-07-30T02:32:45Z</dcterms:created>
  <dcterms:modified xsi:type="dcterms:W3CDTF">2013-07-31T09:14:16Z</dcterms:modified>
</cp:coreProperties>
</file>